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7.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6.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comments10.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O:\CITT\Cases\SIMA\NQ-2026-002\Working Files\Research\Questionnaires\gm questionnaires\"/>
    </mc:Choice>
  </mc:AlternateContent>
  <xr:revisionPtr revIDLastSave="0" documentId="13_ncr:1_{E45B985C-E927-48EA-8447-34C6A7DE49C3}" xr6:coauthVersionLast="47" xr6:coauthVersionMax="47" xr10:uidLastSave="{00000000-0000-0000-0000-000000000000}"/>
  <workbookProtection workbookAlgorithmName="SHA-512" workbookHashValue="Pu9425AH6u1yR8hy2Xif48cFZgNqmneE+z/9rjTHxw6VBisj30Ajvd/Bs+gFO3JixCfGKeWZYLPhe3Lfe4D7EA==" workbookSaltValue="dEzSB+QPgMlgpKsgXzlHeg==" workbookSpinCount="100000" lockStructure="1"/>
  <bookViews>
    <workbookView xWindow="22932" yWindow="-108" windowWidth="23256" windowHeight="12456" firstSheet="1" activeTab="1" xr2:uid="{69D5272A-E9AA-4BC2-82C8-EC0A9D4DAA02}"/>
  </bookViews>
  <sheets>
    <sheet name="Variables" sheetId="80" state="hidden" r:id="rId1"/>
    <sheet name="Intro" sheetId="81" r:id="rId2"/>
    <sheet name="Info" sheetId="82" r:id="rId3"/>
    <sheet name="Public" sheetId="83" r:id="rId4"/>
    <sheet name="Grades|Nuances" sheetId="104" state="hidden" r:id="rId5"/>
    <sheet name="AddPub" sheetId="84" r:id="rId6"/>
    <sheet name="Pro" sheetId="86" r:id="rId7"/>
    <sheet name="Begin" sheetId="93" state="hidden" r:id="rId8"/>
    <sheet name="B_EXP" sheetId="107" state="hidden" r:id="rId9"/>
    <sheet name="Imp-Exp1" sheetId="91" r:id="rId10"/>
    <sheet name="Imp-Exp2" sheetId="105" r:id="rId11"/>
    <sheet name="Imp-Exp3" sheetId="106" r:id="rId12"/>
    <sheet name="E_EXP" sheetId="108" state="hidden" r:id="rId13"/>
    <sheet name="Imp-US" sheetId="98" r:id="rId14"/>
    <sheet name="Imp-Other-Autre" sheetId="103" r:id="rId15"/>
    <sheet name="End" sheetId="94" state="hidden" r:id="rId16"/>
    <sheet name="Invent-Stock" sheetId="92" r:id="rId17"/>
    <sheet name="AddPro" sheetId="89" r:id="rId18"/>
    <sheet name="Confirm" sheetId="90" r:id="rId19"/>
    <sheet name="DB Forged" sheetId="113" state="hidden" r:id="rId20"/>
    <sheet name="DB Stamped" sheetId="115" state="hidden" r:id="rId21"/>
    <sheet name="DB Green Balls" sheetId="117" state="hidden" r:id="rId22"/>
    <sheet name="DB Qual" sheetId="114" state="hidden" r:id="rId23"/>
  </sheets>
  <definedNames>
    <definedName name="_xlnm._FilterDatabase" localSheetId="19" hidden="1">'DB Forged'!$O$102:$O$131</definedName>
    <definedName name="_xlnm._FilterDatabase" localSheetId="21" hidden="1">'DB Green Balls'!$O$102:$O$131</definedName>
    <definedName name="_xlnm._FilterDatabase" localSheetId="20" hidden="1">'DB Stamped'!$O$102:$O$131</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7">AddPro!$B$1:$L$62</definedName>
    <definedName name="_xlnm.Print_Area" localSheetId="5">AddPub!$B$1:$L$62</definedName>
    <definedName name="_xlnm.Print_Area" localSheetId="18">Confirm!$B$1:$L$69</definedName>
    <definedName name="_xlnm.Print_Area" localSheetId="4">'Grades|Nuances'!$B$1:$L$35</definedName>
    <definedName name="_xlnm.Print_Area" localSheetId="9">'Imp-Exp1'!$B$1:$L$299</definedName>
    <definedName name="_xlnm.Print_Area" localSheetId="10">'Imp-Exp2'!$B$1:$L$299</definedName>
    <definedName name="_xlnm.Print_Area" localSheetId="11">'Imp-Exp3'!$B$1:$L$299</definedName>
    <definedName name="_xlnm.Print_Area" localSheetId="14">'Imp-Other-Autre'!$B$1:$L$298</definedName>
    <definedName name="_xlnm.Print_Area" localSheetId="13">'Imp-US'!$B$1:$L$299</definedName>
    <definedName name="_xlnm.Print_Area" localSheetId="2">Info!$B$1:$L$53</definedName>
    <definedName name="_xlnm.Print_Area" localSheetId="1">Intro!$B$1:$L$122</definedName>
    <definedName name="_xlnm.Print_Area" localSheetId="16">'Invent-Stock'!$B$1:$L$174</definedName>
    <definedName name="_xlnm.Print_Area" localSheetId="6">Pro!$B$1:$L$154</definedName>
    <definedName name="_xlnm.Print_Area" localSheetId="3">Public!$B$1:$L$393</definedName>
    <definedName name="_xlnm.Print_Titles" localSheetId="17">AddPro!$1:$7</definedName>
    <definedName name="_xlnm.Print_Titles" localSheetId="5">AddPub!$1:$7</definedName>
    <definedName name="_xlnm.Print_Titles" localSheetId="18">Confirm!$1:$7</definedName>
    <definedName name="_xlnm.Print_Titles" localSheetId="4">'Grades|Nuances'!$1:$7</definedName>
    <definedName name="_xlnm.Print_Titles" localSheetId="9">'Imp-Exp1'!$1:$7</definedName>
    <definedName name="_xlnm.Print_Titles" localSheetId="10">'Imp-Exp2'!$1:$7</definedName>
    <definedName name="_xlnm.Print_Titles" localSheetId="11">'Imp-Exp3'!$1:$7</definedName>
    <definedName name="_xlnm.Print_Titles" localSheetId="14">'Imp-Other-Autre'!$1:$7</definedName>
    <definedName name="_xlnm.Print_Titles" localSheetId="13">'Imp-US'!$1:$7</definedName>
    <definedName name="_xlnm.Print_Titles" localSheetId="2">Info!$1:$7</definedName>
    <definedName name="_xlnm.Print_Titles" localSheetId="1">Intro!$1:$7</definedName>
    <definedName name="_xlnm.Print_Titles" localSheetId="16">'Invent-Stock'!$1:$7</definedName>
    <definedName name="_xlnm.Print_Titles" localSheetId="6">Pro!$1:$7</definedName>
    <definedName name="_xlnm.Print_Titles" localSheetId="3">Public!$1:$7</definedName>
    <definedName name="quest8" localSheetId="17">AddPro!#REF!</definedName>
    <definedName name="quest8" localSheetId="5">AddPub!#REF!</definedName>
    <definedName name="quest8" localSheetId="18">Confirm!#REF!</definedName>
    <definedName name="quest8" localSheetId="9">'Imp-Exp1'!#REF!</definedName>
    <definedName name="quest8" localSheetId="10">'Imp-Exp2'!#REF!</definedName>
    <definedName name="quest8" localSheetId="11">'Imp-Exp3'!#REF!</definedName>
    <definedName name="quest8" localSheetId="14">'Imp-Other-Autre'!#REF!</definedName>
    <definedName name="quest8" localSheetId="13">'Imp-US'!#REF!</definedName>
    <definedName name="quest8" localSheetId="2">Info!#REF!</definedName>
    <definedName name="quest8" localSheetId="1">Intro!#REF!</definedName>
    <definedName name="quest8" localSheetId="16">'Invent-Stock'!#REF!</definedName>
    <definedName name="quest8" localSheetId="6">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1" i="103" l="1"/>
  <c r="F261" i="98"/>
  <c r="F261" i="106"/>
  <c r="F261" i="105"/>
  <c r="F261" i="91"/>
  <c r="AB140" i="113" l="1"/>
  <c r="AB139" i="113"/>
  <c r="AA140" i="113"/>
  <c r="AA139" i="113"/>
  <c r="Z140" i="113"/>
  <c r="Z139" i="113"/>
  <c r="AB138" i="113"/>
  <c r="AB137" i="113"/>
  <c r="AA138" i="113"/>
  <c r="AA137" i="113"/>
  <c r="Z138" i="113"/>
  <c r="Z137" i="113"/>
  <c r="AB136" i="113"/>
  <c r="AA136" i="113"/>
  <c r="Z136" i="113"/>
  <c r="Y140" i="113"/>
  <c r="Y139" i="113"/>
  <c r="Y138" i="113"/>
  <c r="Y137" i="113"/>
  <c r="Y136" i="113"/>
  <c r="T140" i="113"/>
  <c r="T139" i="113"/>
  <c r="R140" i="113"/>
  <c r="R139" i="113"/>
  <c r="S140" i="113"/>
  <c r="S139" i="113"/>
  <c r="T138" i="113"/>
  <c r="T137" i="113"/>
  <c r="S138" i="113"/>
  <c r="S137" i="113"/>
  <c r="R138" i="113"/>
  <c r="R137" i="113"/>
  <c r="T136" i="113"/>
  <c r="S136" i="113"/>
  <c r="R136" i="113"/>
  <c r="Q140" i="113"/>
  <c r="Q139" i="113"/>
  <c r="Q138" i="113"/>
  <c r="Q137" i="113"/>
  <c r="Q136" i="113"/>
  <c r="L127" i="113"/>
  <c r="L128" i="113"/>
  <c r="L129" i="113"/>
  <c r="L130" i="113"/>
  <c r="L131" i="113"/>
  <c r="L126" i="113"/>
  <c r="G138" i="113"/>
  <c r="G137" i="113"/>
  <c r="G136" i="113"/>
  <c r="B166" i="103"/>
  <c r="B168" i="103"/>
  <c r="B169" i="103"/>
  <c r="B170" i="103"/>
  <c r="E170" i="103"/>
  <c r="F170" i="103"/>
  <c r="G170" i="103"/>
  <c r="H170" i="103"/>
  <c r="I170" i="103"/>
  <c r="J170" i="103"/>
  <c r="K170" i="103"/>
  <c r="L170" i="103"/>
  <c r="B171" i="103"/>
  <c r="B173" i="103"/>
  <c r="B174" i="103"/>
  <c r="B175" i="103"/>
  <c r="E175" i="103"/>
  <c r="F175" i="103"/>
  <c r="G175" i="103"/>
  <c r="H175" i="103"/>
  <c r="I175" i="103"/>
  <c r="J175" i="103"/>
  <c r="K175" i="103"/>
  <c r="L175" i="103"/>
  <c r="B176" i="103"/>
  <c r="B178" i="103"/>
  <c r="B179" i="103"/>
  <c r="B180" i="103"/>
  <c r="E180" i="103"/>
  <c r="F180" i="103"/>
  <c r="G180" i="103"/>
  <c r="H180" i="103"/>
  <c r="I180" i="103"/>
  <c r="J180" i="103"/>
  <c r="K180" i="103"/>
  <c r="L180" i="103"/>
  <c r="B166" i="98"/>
  <c r="B168" i="98"/>
  <c r="B169" i="98"/>
  <c r="B170" i="98"/>
  <c r="E170" i="98"/>
  <c r="F170" i="98"/>
  <c r="G170" i="98"/>
  <c r="H170" i="98"/>
  <c r="I170" i="98"/>
  <c r="J170" i="98"/>
  <c r="K170" i="98"/>
  <c r="L170" i="98"/>
  <c r="B171" i="98"/>
  <c r="B173" i="98"/>
  <c r="B174" i="98"/>
  <c r="B175" i="98"/>
  <c r="E175" i="98"/>
  <c r="F175" i="98"/>
  <c r="G175" i="98"/>
  <c r="H175" i="98"/>
  <c r="I175" i="98"/>
  <c r="J175" i="98"/>
  <c r="K175" i="98"/>
  <c r="L175" i="98"/>
  <c r="B176" i="98"/>
  <c r="B178" i="98"/>
  <c r="B179" i="98"/>
  <c r="B180" i="98"/>
  <c r="E180" i="98"/>
  <c r="F180" i="98"/>
  <c r="G180" i="98"/>
  <c r="H180" i="98"/>
  <c r="I180" i="98"/>
  <c r="J180" i="98"/>
  <c r="K180" i="98"/>
  <c r="L180" i="98"/>
  <c r="B166" i="106"/>
  <c r="E170" i="106"/>
  <c r="F170" i="106"/>
  <c r="G170" i="106"/>
  <c r="H170" i="106"/>
  <c r="I170" i="106"/>
  <c r="J170" i="106"/>
  <c r="K170" i="106"/>
  <c r="L170" i="106"/>
  <c r="B171" i="106"/>
  <c r="E175" i="106"/>
  <c r="F175" i="106"/>
  <c r="G175" i="106"/>
  <c r="H175" i="106"/>
  <c r="I175" i="106"/>
  <c r="J175" i="106"/>
  <c r="K175" i="106"/>
  <c r="L175" i="106"/>
  <c r="B176" i="106"/>
  <c r="E180" i="106"/>
  <c r="F180" i="106"/>
  <c r="G180" i="106"/>
  <c r="H180" i="106"/>
  <c r="I180" i="106"/>
  <c r="J180" i="106"/>
  <c r="K180" i="106"/>
  <c r="L180" i="106"/>
  <c r="B166" i="105"/>
  <c r="E170" i="105"/>
  <c r="F170" i="105"/>
  <c r="G170" i="105"/>
  <c r="H170" i="105"/>
  <c r="I170" i="105"/>
  <c r="J170" i="105"/>
  <c r="K170" i="105"/>
  <c r="L170" i="105"/>
  <c r="B171" i="105"/>
  <c r="E175" i="105"/>
  <c r="F175" i="105"/>
  <c r="G175" i="105"/>
  <c r="H175" i="105"/>
  <c r="I175" i="105"/>
  <c r="J175" i="105"/>
  <c r="K175" i="105"/>
  <c r="L175" i="105"/>
  <c r="B176" i="105"/>
  <c r="E180" i="105"/>
  <c r="F180" i="105"/>
  <c r="G180" i="105"/>
  <c r="H180" i="105"/>
  <c r="I180" i="105"/>
  <c r="J180" i="105"/>
  <c r="K180" i="105"/>
  <c r="L180" i="105"/>
  <c r="B166" i="91"/>
  <c r="E170" i="91"/>
  <c r="F170" i="91"/>
  <c r="G170" i="91"/>
  <c r="H170" i="91"/>
  <c r="I170" i="91"/>
  <c r="J170" i="91"/>
  <c r="K170" i="91"/>
  <c r="L170" i="91"/>
  <c r="B171" i="91"/>
  <c r="E175" i="91"/>
  <c r="F175" i="91"/>
  <c r="G175" i="91"/>
  <c r="H175" i="91"/>
  <c r="I175" i="91"/>
  <c r="J175" i="91"/>
  <c r="K175" i="91"/>
  <c r="L175" i="91"/>
  <c r="B176" i="91"/>
  <c r="E180" i="91"/>
  <c r="F180" i="91"/>
  <c r="G180" i="91"/>
  <c r="H180" i="91"/>
  <c r="I180" i="91"/>
  <c r="J180" i="91"/>
  <c r="K180" i="91"/>
  <c r="L180" i="91"/>
  <c r="H7" i="117"/>
  <c r="H8" i="117"/>
  <c r="H9" i="117"/>
  <c r="H10" i="117"/>
  <c r="H11" i="117"/>
  <c r="H6" i="117"/>
  <c r="H7" i="115"/>
  <c r="H8" i="115"/>
  <c r="H9" i="115"/>
  <c r="H10" i="115"/>
  <c r="H11" i="115"/>
  <c r="H6" i="115"/>
  <c r="H7" i="113"/>
  <c r="H8" i="113"/>
  <c r="H9" i="113"/>
  <c r="H10" i="113"/>
  <c r="H11" i="113"/>
  <c r="H6" i="113"/>
  <c r="E16" i="113" s="1"/>
  <c r="M22" i="117"/>
  <c r="M22" i="115"/>
  <c r="K140" i="113"/>
  <c r="M70" i="113" l="1"/>
  <c r="M71" i="113"/>
  <c r="M72" i="113"/>
  <c r="M73" i="113"/>
  <c r="M74" i="113"/>
  <c r="M75" i="113"/>
  <c r="M76" i="113"/>
  <c r="M77" i="113"/>
  <c r="M78" i="113"/>
  <c r="M69" i="113"/>
  <c r="M24" i="113" l="1"/>
  <c r="M23" i="113"/>
  <c r="M22" i="113"/>
  <c r="Y24" i="113"/>
  <c r="Z24" i="113"/>
  <c r="AA24" i="113"/>
  <c r="AB24" i="113"/>
  <c r="Y23" i="113"/>
  <c r="Z23" i="113"/>
  <c r="AA23" i="113"/>
  <c r="AB23" i="113"/>
  <c r="Y22" i="113"/>
  <c r="Z22" i="113"/>
  <c r="AA22" i="113"/>
  <c r="AB22" i="113"/>
  <c r="Y21" i="113"/>
  <c r="Z21" i="113"/>
  <c r="AA21" i="113"/>
  <c r="AB21" i="113"/>
  <c r="Y20" i="113"/>
  <c r="Z20" i="113"/>
  <c r="AA20" i="113"/>
  <c r="AB20" i="113"/>
  <c r="Y19" i="113"/>
  <c r="Z19" i="113"/>
  <c r="AA19" i="113"/>
  <c r="AB19" i="113"/>
  <c r="Y18" i="113"/>
  <c r="Z18" i="113"/>
  <c r="AA18" i="113"/>
  <c r="AB18" i="113"/>
  <c r="Y17" i="113"/>
  <c r="Z17" i="113"/>
  <c r="AA17" i="113"/>
  <c r="AB17" i="113"/>
  <c r="Y16" i="113"/>
  <c r="Z16" i="113"/>
  <c r="AA16" i="113"/>
  <c r="AB16" i="113"/>
  <c r="X24" i="113"/>
  <c r="X23" i="113"/>
  <c r="X22" i="113"/>
  <c r="X21" i="113"/>
  <c r="X20" i="113"/>
  <c r="X19" i="113"/>
  <c r="X18" i="113"/>
  <c r="X17" i="113"/>
  <c r="X16" i="113"/>
  <c r="Z30" i="113"/>
  <c r="Z29" i="113"/>
  <c r="D54" i="114"/>
  <c r="D53" i="114"/>
  <c r="D52" i="114"/>
  <c r="D51" i="114"/>
  <c r="D50" i="114"/>
  <c r="C54" i="114"/>
  <c r="C53" i="114"/>
  <c r="C52" i="114"/>
  <c r="C51" i="114"/>
  <c r="C50" i="114"/>
  <c r="A47" i="114"/>
  <c r="A48" i="114"/>
  <c r="A49" i="114"/>
  <c r="A50" i="114"/>
  <c r="A51" i="114"/>
  <c r="A52" i="114"/>
  <c r="A53" i="114"/>
  <c r="A54" i="114"/>
  <c r="D49" i="114"/>
  <c r="D48" i="114"/>
  <c r="D47" i="114"/>
  <c r="D46" i="114"/>
  <c r="D45" i="114"/>
  <c r="D44" i="114"/>
  <c r="C49" i="114"/>
  <c r="C48" i="114"/>
  <c r="C47" i="114"/>
  <c r="C46" i="114"/>
  <c r="C45" i="114"/>
  <c r="C44" i="114"/>
  <c r="D43" i="114"/>
  <c r="D42" i="114"/>
  <c r="D41" i="114"/>
  <c r="D40" i="114"/>
  <c r="D39" i="114"/>
  <c r="A38" i="114"/>
  <c r="D38" i="114"/>
  <c r="D37" i="114"/>
  <c r="D36" i="114"/>
  <c r="D35" i="114"/>
  <c r="D34" i="114"/>
  <c r="D33" i="114"/>
  <c r="D32" i="114"/>
  <c r="D31" i="114"/>
  <c r="D30" i="114"/>
  <c r="D29" i="114"/>
  <c r="C31" i="114"/>
  <c r="C30" i="114"/>
  <c r="C29" i="114"/>
  <c r="D28" i="114"/>
  <c r="C28" i="114"/>
  <c r="D27" i="114"/>
  <c r="C27" i="114"/>
  <c r="D26" i="114"/>
  <c r="D25" i="114"/>
  <c r="D24" i="114"/>
  <c r="D23" i="114"/>
  <c r="D22" i="114"/>
  <c r="D21" i="114"/>
  <c r="D20" i="114"/>
  <c r="D19" i="114"/>
  <c r="D18" i="114"/>
  <c r="D17" i="114"/>
  <c r="D16" i="114"/>
  <c r="D15" i="114"/>
  <c r="D14" i="114"/>
  <c r="D13" i="114"/>
  <c r="D12" i="114"/>
  <c r="D11" i="114"/>
  <c r="D10" i="114"/>
  <c r="D9" i="114"/>
  <c r="D8" i="114"/>
  <c r="D7" i="114"/>
  <c r="D6" i="114"/>
  <c r="D5" i="114"/>
  <c r="D4" i="114"/>
  <c r="D3" i="114"/>
  <c r="D2" i="114"/>
  <c r="A3" i="114"/>
  <c r="A4" i="114"/>
  <c r="A5" i="114"/>
  <c r="A6" i="114"/>
  <c r="A7" i="114"/>
  <c r="A8" i="114"/>
  <c r="A9" i="114"/>
  <c r="A10" i="114"/>
  <c r="A11" i="114"/>
  <c r="A12" i="114"/>
  <c r="A13" i="114"/>
  <c r="A14" i="114"/>
  <c r="A15" i="114"/>
  <c r="A16" i="114"/>
  <c r="A17" i="114"/>
  <c r="A18" i="114"/>
  <c r="A19" i="114"/>
  <c r="A20" i="114"/>
  <c r="A21" i="114"/>
  <c r="A22" i="114"/>
  <c r="A23" i="114"/>
  <c r="A24" i="114"/>
  <c r="A25" i="114"/>
  <c r="A26" i="114"/>
  <c r="A27" i="114"/>
  <c r="A28" i="114"/>
  <c r="A29" i="114"/>
  <c r="A30" i="114"/>
  <c r="A31" i="114"/>
  <c r="A32" i="114"/>
  <c r="A33" i="114"/>
  <c r="A34" i="114"/>
  <c r="A35" i="114"/>
  <c r="A36" i="114"/>
  <c r="A37" i="114"/>
  <c r="A39" i="114"/>
  <c r="A40" i="114"/>
  <c r="A41" i="114"/>
  <c r="A42" i="114"/>
  <c r="A43" i="114"/>
  <c r="A44" i="114"/>
  <c r="A45" i="114"/>
  <c r="A46" i="114"/>
  <c r="A2" i="114"/>
  <c r="AB24" i="117"/>
  <c r="AB21" i="117"/>
  <c r="AB18" i="117"/>
  <c r="AA24" i="117"/>
  <c r="AA21" i="117"/>
  <c r="AA18" i="117"/>
  <c r="Z24" i="117"/>
  <c r="Z21" i="117"/>
  <c r="Z18" i="117"/>
  <c r="Y24" i="117"/>
  <c r="Y21" i="117"/>
  <c r="Y18" i="117"/>
  <c r="X24" i="117"/>
  <c r="X21" i="117"/>
  <c r="X18" i="117"/>
  <c r="AB23" i="117"/>
  <c r="AB20" i="117"/>
  <c r="AB17" i="117"/>
  <c r="AA23" i="117"/>
  <c r="AA20" i="117"/>
  <c r="AA17" i="117"/>
  <c r="Z23" i="117"/>
  <c r="Z20" i="117"/>
  <c r="Z17" i="117"/>
  <c r="Y23" i="117"/>
  <c r="Y20" i="117"/>
  <c r="Y17" i="117"/>
  <c r="X23" i="117"/>
  <c r="X20" i="117"/>
  <c r="X17" i="117"/>
  <c r="AB22" i="117"/>
  <c r="AB19" i="117"/>
  <c r="AB16" i="117"/>
  <c r="AA22" i="117"/>
  <c r="AA19" i="117"/>
  <c r="AA16" i="117"/>
  <c r="Z22" i="117"/>
  <c r="Z19" i="117"/>
  <c r="Z16" i="117"/>
  <c r="Y22" i="117"/>
  <c r="Y19" i="117"/>
  <c r="Y16" i="117"/>
  <c r="X22" i="117"/>
  <c r="X19" i="117"/>
  <c r="X16" i="117"/>
  <c r="V24" i="117"/>
  <c r="V21" i="117"/>
  <c r="V18" i="117"/>
  <c r="U24" i="117"/>
  <c r="U21" i="117"/>
  <c r="U18" i="117"/>
  <c r="T24" i="117"/>
  <c r="T21" i="117"/>
  <c r="T18" i="117"/>
  <c r="S24" i="117"/>
  <c r="S21" i="117"/>
  <c r="S18" i="117"/>
  <c r="R24" i="117"/>
  <c r="R21" i="117"/>
  <c r="R18" i="117"/>
  <c r="V23" i="117"/>
  <c r="V20" i="117"/>
  <c r="V17" i="117"/>
  <c r="U23" i="117"/>
  <c r="U20" i="117"/>
  <c r="U17" i="117"/>
  <c r="T23" i="117"/>
  <c r="T20" i="117"/>
  <c r="T17" i="117"/>
  <c r="S23" i="117"/>
  <c r="S20" i="117"/>
  <c r="S17" i="117"/>
  <c r="R23" i="117"/>
  <c r="R20" i="117"/>
  <c r="R17" i="117"/>
  <c r="V22" i="117"/>
  <c r="V19" i="117"/>
  <c r="V16" i="117"/>
  <c r="U22" i="117"/>
  <c r="U19" i="117"/>
  <c r="U16" i="117"/>
  <c r="T22" i="117"/>
  <c r="T19" i="117"/>
  <c r="T16" i="117"/>
  <c r="S22" i="117"/>
  <c r="S19" i="117"/>
  <c r="S16" i="117"/>
  <c r="R22" i="117"/>
  <c r="R19" i="117"/>
  <c r="R16" i="117"/>
  <c r="AB24" i="115"/>
  <c r="AB21" i="115"/>
  <c r="AB18" i="115"/>
  <c r="AA24" i="115"/>
  <c r="AA21" i="115"/>
  <c r="AA18" i="115"/>
  <c r="Z24" i="115"/>
  <c r="Z21" i="115"/>
  <c r="Z18" i="115"/>
  <c r="Y24" i="115"/>
  <c r="Y21" i="115"/>
  <c r="Y18" i="115"/>
  <c r="X24" i="115"/>
  <c r="X21" i="115"/>
  <c r="X18" i="115"/>
  <c r="AB23" i="115"/>
  <c r="AB20" i="115"/>
  <c r="AB17" i="115"/>
  <c r="AA23" i="115"/>
  <c r="AA20" i="115"/>
  <c r="AA17" i="115"/>
  <c r="Z23" i="115"/>
  <c r="Z20" i="115"/>
  <c r="Z17" i="115"/>
  <c r="Y23" i="115"/>
  <c r="Y20" i="115"/>
  <c r="Y17" i="115"/>
  <c r="X23" i="115"/>
  <c r="X20" i="115"/>
  <c r="X17" i="115"/>
  <c r="AB22" i="115"/>
  <c r="AB19" i="115"/>
  <c r="AB16" i="115"/>
  <c r="AA22" i="115"/>
  <c r="AA19" i="115"/>
  <c r="AA16" i="115"/>
  <c r="Z22" i="115"/>
  <c r="Z19" i="115"/>
  <c r="Z16" i="115"/>
  <c r="Y22" i="115"/>
  <c r="Y19" i="115"/>
  <c r="Y16" i="115"/>
  <c r="X22" i="115"/>
  <c r="X19" i="115"/>
  <c r="X16" i="115"/>
  <c r="V24" i="115"/>
  <c r="V21" i="115"/>
  <c r="V18" i="115"/>
  <c r="U24" i="115"/>
  <c r="U21" i="115"/>
  <c r="U18" i="115"/>
  <c r="T24" i="115"/>
  <c r="T21" i="115"/>
  <c r="T18" i="115"/>
  <c r="S24" i="115"/>
  <c r="S21" i="115"/>
  <c r="S18" i="115"/>
  <c r="R24" i="115"/>
  <c r="R21" i="115"/>
  <c r="R18" i="115"/>
  <c r="V23" i="115"/>
  <c r="V20" i="115"/>
  <c r="V17" i="115"/>
  <c r="U23" i="115"/>
  <c r="U20" i="115"/>
  <c r="U17" i="115"/>
  <c r="T23" i="115"/>
  <c r="T20" i="115"/>
  <c r="T17" i="115"/>
  <c r="S23" i="115"/>
  <c r="S20" i="115"/>
  <c r="S17" i="115"/>
  <c r="R23" i="115"/>
  <c r="R20" i="115"/>
  <c r="R17" i="115"/>
  <c r="V22" i="115"/>
  <c r="V19" i="115"/>
  <c r="V16" i="115"/>
  <c r="U22" i="115"/>
  <c r="U19" i="115"/>
  <c r="U16" i="115"/>
  <c r="T22" i="115"/>
  <c r="T19" i="115"/>
  <c r="T16" i="115"/>
  <c r="S22" i="115"/>
  <c r="S19" i="115"/>
  <c r="S16" i="115"/>
  <c r="R22" i="115"/>
  <c r="R19" i="115"/>
  <c r="R16" i="115"/>
  <c r="Q17" i="115"/>
  <c r="Q18" i="115"/>
  <c r="Q19" i="115"/>
  <c r="Q20" i="115"/>
  <c r="Q21" i="115"/>
  <c r="Q22" i="115"/>
  <c r="Q23" i="115"/>
  <c r="Q24" i="115"/>
  <c r="Q16" i="115"/>
  <c r="L11" i="117"/>
  <c r="M11" i="117"/>
  <c r="N11" i="117"/>
  <c r="O11" i="117"/>
  <c r="K11" i="117"/>
  <c r="L11" i="115"/>
  <c r="M11" i="115"/>
  <c r="N11" i="115"/>
  <c r="O11" i="115"/>
  <c r="K11" i="115"/>
  <c r="P24" i="117"/>
  <c r="M24" i="117"/>
  <c r="D24" i="117"/>
  <c r="C24" i="117"/>
  <c r="B24" i="117"/>
  <c r="D23" i="117"/>
  <c r="B23" i="117"/>
  <c r="C23" i="117" s="1"/>
  <c r="B22" i="117"/>
  <c r="C22" i="117" s="1"/>
  <c r="P21" i="117"/>
  <c r="D21" i="117"/>
  <c r="C21" i="117"/>
  <c r="B21" i="117"/>
  <c r="P20" i="117"/>
  <c r="D20" i="117"/>
  <c r="C20" i="117"/>
  <c r="B20" i="117"/>
  <c r="B19" i="117"/>
  <c r="C19" i="117" s="1"/>
  <c r="P18" i="117"/>
  <c r="B18" i="117"/>
  <c r="C18" i="117" s="1"/>
  <c r="P17" i="117"/>
  <c r="P23" i="117" s="1"/>
  <c r="D17" i="117"/>
  <c r="D18" i="117" s="1"/>
  <c r="B17" i="117"/>
  <c r="C17" i="117" s="1"/>
  <c r="E16" i="117"/>
  <c r="E19" i="117" s="1"/>
  <c r="E20" i="117" s="1"/>
  <c r="E21" i="117" s="1"/>
  <c r="B16" i="117"/>
  <c r="C16" i="117" s="1"/>
  <c r="B11" i="117"/>
  <c r="B10" i="117"/>
  <c r="B9" i="117"/>
  <c r="G8" i="117"/>
  <c r="M23" i="117" s="1"/>
  <c r="C8" i="117"/>
  <c r="C9" i="117" s="1"/>
  <c r="C10" i="117" s="1"/>
  <c r="C11" i="117" s="1"/>
  <c r="B8" i="117"/>
  <c r="C7" i="117"/>
  <c r="B7" i="117"/>
  <c r="B6" i="117"/>
  <c r="P24" i="115"/>
  <c r="D24" i="115"/>
  <c r="C24" i="115"/>
  <c r="B24" i="115"/>
  <c r="D23" i="115"/>
  <c r="B23" i="115"/>
  <c r="C23" i="115" s="1"/>
  <c r="B22" i="115"/>
  <c r="C22" i="115" s="1"/>
  <c r="P21" i="115"/>
  <c r="B21" i="115"/>
  <c r="C21" i="115" s="1"/>
  <c r="D20" i="115"/>
  <c r="D21" i="115" s="1"/>
  <c r="B20" i="115"/>
  <c r="C20" i="115" s="1"/>
  <c r="B19" i="115"/>
  <c r="C19" i="115" s="1"/>
  <c r="P18" i="115"/>
  <c r="B18" i="115"/>
  <c r="C18" i="115" s="1"/>
  <c r="P17" i="115"/>
  <c r="P23" i="115" s="1"/>
  <c r="D17" i="115"/>
  <c r="D18" i="115" s="1"/>
  <c r="B17" i="115"/>
  <c r="C17" i="115" s="1"/>
  <c r="E16" i="115"/>
  <c r="C16" i="115"/>
  <c r="B16" i="115"/>
  <c r="B11" i="115"/>
  <c r="B10" i="115"/>
  <c r="C9" i="115"/>
  <c r="C10" i="115" s="1"/>
  <c r="C11" i="115" s="1"/>
  <c r="B9" i="115"/>
  <c r="C8" i="115"/>
  <c r="B8" i="115"/>
  <c r="C7" i="115"/>
  <c r="B7" i="115"/>
  <c r="B6" i="115"/>
  <c r="V140" i="113"/>
  <c r="W140" i="113"/>
  <c r="X140" i="113"/>
  <c r="U140" i="113"/>
  <c r="N140" i="113"/>
  <c r="O140" i="113"/>
  <c r="P140" i="113"/>
  <c r="M140" i="113"/>
  <c r="V139" i="113"/>
  <c r="W139" i="113"/>
  <c r="X139" i="113"/>
  <c r="U139" i="113"/>
  <c r="N139" i="113"/>
  <c r="O139" i="113"/>
  <c r="P139" i="113"/>
  <c r="M139" i="113"/>
  <c r="V138" i="113"/>
  <c r="W138" i="113"/>
  <c r="X138" i="113"/>
  <c r="U138" i="113"/>
  <c r="N138" i="113"/>
  <c r="O138" i="113"/>
  <c r="P138" i="113"/>
  <c r="M138" i="113"/>
  <c r="V136" i="113"/>
  <c r="W136" i="113"/>
  <c r="X136" i="113"/>
  <c r="U136" i="113"/>
  <c r="V137" i="113"/>
  <c r="W137" i="113"/>
  <c r="X137" i="113"/>
  <c r="U137" i="113"/>
  <c r="N137" i="113"/>
  <c r="O137" i="113"/>
  <c r="P137" i="113"/>
  <c r="M137" i="113"/>
  <c r="P136" i="113"/>
  <c r="N136" i="113"/>
  <c r="O136" i="113"/>
  <c r="M136" i="113"/>
  <c r="B146" i="113"/>
  <c r="B137" i="113"/>
  <c r="B138" i="113"/>
  <c r="B139" i="113"/>
  <c r="B140" i="113"/>
  <c r="B136" i="113"/>
  <c r="K146" i="113"/>
  <c r="L146" i="113"/>
  <c r="M146" i="113"/>
  <c r="N146" i="113"/>
  <c r="J146" i="113"/>
  <c r="E146" i="113"/>
  <c r="F146" i="113"/>
  <c r="G146" i="113"/>
  <c r="H146" i="113"/>
  <c r="I146" i="113"/>
  <c r="AA102" i="113"/>
  <c r="AB102" i="113"/>
  <c r="AC102" i="113"/>
  <c r="AD102" i="113"/>
  <c r="AE102" i="113"/>
  <c r="AF102" i="113"/>
  <c r="AG102" i="113"/>
  <c r="AA103" i="113"/>
  <c r="AB103" i="113"/>
  <c r="AC103" i="113"/>
  <c r="AD103" i="113"/>
  <c r="AE103" i="113"/>
  <c r="AF103" i="113"/>
  <c r="AG103" i="113"/>
  <c r="AA104" i="113"/>
  <c r="AB104" i="113"/>
  <c r="AC104" i="113"/>
  <c r="AD104" i="113"/>
  <c r="AE104" i="113"/>
  <c r="AF104" i="113"/>
  <c r="AG104" i="113"/>
  <c r="AA105" i="113"/>
  <c r="AB105" i="113"/>
  <c r="AC105" i="113"/>
  <c r="AD105" i="113"/>
  <c r="AE105" i="113"/>
  <c r="AF105" i="113"/>
  <c r="AG105" i="113"/>
  <c r="AA106" i="113"/>
  <c r="AB106" i="113"/>
  <c r="AC106" i="113"/>
  <c r="AD106" i="113"/>
  <c r="AE106" i="113"/>
  <c r="AF106" i="113"/>
  <c r="AG106" i="113"/>
  <c r="AA107" i="113"/>
  <c r="AB107" i="113"/>
  <c r="AC107" i="113"/>
  <c r="AD107" i="113"/>
  <c r="AE107" i="113"/>
  <c r="AF107" i="113"/>
  <c r="AG107" i="113"/>
  <c r="AA108" i="113"/>
  <c r="AB108" i="113"/>
  <c r="AC108" i="113"/>
  <c r="AD108" i="113"/>
  <c r="AE108" i="113"/>
  <c r="AF108" i="113"/>
  <c r="AG108" i="113"/>
  <c r="AA109" i="113"/>
  <c r="AB109" i="113"/>
  <c r="AC109" i="113"/>
  <c r="AD109" i="113"/>
  <c r="AE109" i="113"/>
  <c r="AF109" i="113"/>
  <c r="AG109" i="113"/>
  <c r="AA110" i="113"/>
  <c r="AB110" i="113"/>
  <c r="AC110" i="113"/>
  <c r="AD110" i="113"/>
  <c r="AE110" i="113"/>
  <c r="AF110" i="113"/>
  <c r="AG110" i="113"/>
  <c r="AA111" i="113"/>
  <c r="AB111" i="113"/>
  <c r="AC111" i="113"/>
  <c r="AD111" i="113"/>
  <c r="AE111" i="113"/>
  <c r="AF111" i="113"/>
  <c r="AG111" i="113"/>
  <c r="AA112" i="113"/>
  <c r="AB112" i="113"/>
  <c r="AC112" i="113"/>
  <c r="AD112" i="113"/>
  <c r="AE112" i="113"/>
  <c r="AF112" i="113"/>
  <c r="AG112" i="113"/>
  <c r="AA113" i="113"/>
  <c r="AB113" i="113"/>
  <c r="AC113" i="113"/>
  <c r="AD113" i="113"/>
  <c r="AE113" i="113"/>
  <c r="AF113" i="113"/>
  <c r="AG113" i="113"/>
  <c r="AA114" i="113"/>
  <c r="AB114" i="113"/>
  <c r="AC114" i="113"/>
  <c r="AD114" i="113"/>
  <c r="AE114" i="113"/>
  <c r="AF114" i="113"/>
  <c r="AG114" i="113"/>
  <c r="AA115" i="113"/>
  <c r="AB115" i="113"/>
  <c r="AC115" i="113"/>
  <c r="AD115" i="113"/>
  <c r="AE115" i="113"/>
  <c r="AF115" i="113"/>
  <c r="AG115" i="113"/>
  <c r="AA116" i="113"/>
  <c r="AB116" i="113"/>
  <c r="AC116" i="113"/>
  <c r="AD116" i="113"/>
  <c r="AE116" i="113"/>
  <c r="AF116" i="113"/>
  <c r="AG116" i="113"/>
  <c r="AA117" i="113"/>
  <c r="AB117" i="113"/>
  <c r="AC117" i="113"/>
  <c r="AD117" i="113"/>
  <c r="AE117" i="113"/>
  <c r="AF117" i="113"/>
  <c r="AG117" i="113"/>
  <c r="AA118" i="113"/>
  <c r="AB118" i="113"/>
  <c r="AC118" i="113"/>
  <c r="AD118" i="113"/>
  <c r="AE118" i="113"/>
  <c r="AF118" i="113"/>
  <c r="AG118" i="113"/>
  <c r="AA119" i="113"/>
  <c r="AB119" i="113"/>
  <c r="AC119" i="113"/>
  <c r="AD119" i="113"/>
  <c r="AE119" i="113"/>
  <c r="AF119" i="113"/>
  <c r="AG119" i="113"/>
  <c r="AA120" i="113"/>
  <c r="AB120" i="113"/>
  <c r="AC120" i="113"/>
  <c r="AD120" i="113"/>
  <c r="AE120" i="113"/>
  <c r="AF120" i="113"/>
  <c r="AG120" i="113"/>
  <c r="AA121" i="113"/>
  <c r="AB121" i="113"/>
  <c r="AC121" i="113"/>
  <c r="AD121" i="113"/>
  <c r="AE121" i="113"/>
  <c r="AF121" i="113"/>
  <c r="AG121" i="113"/>
  <c r="AA122" i="113"/>
  <c r="AB122" i="113"/>
  <c r="AC122" i="113"/>
  <c r="AD122" i="113"/>
  <c r="AE122" i="113"/>
  <c r="AF122" i="113"/>
  <c r="AG122" i="113"/>
  <c r="AA123" i="113"/>
  <c r="AB123" i="113"/>
  <c r="AC123" i="113"/>
  <c r="AD123" i="113"/>
  <c r="AE123" i="113"/>
  <c r="AF123" i="113"/>
  <c r="AG123" i="113"/>
  <c r="AA124" i="113"/>
  <c r="AB124" i="113"/>
  <c r="AC124" i="113"/>
  <c r="AD124" i="113"/>
  <c r="AE124" i="113"/>
  <c r="AF124" i="113"/>
  <c r="AG124" i="113"/>
  <c r="AA125" i="113"/>
  <c r="AB125" i="113"/>
  <c r="AC125" i="113"/>
  <c r="AD125" i="113"/>
  <c r="AE125" i="113"/>
  <c r="AF125" i="113"/>
  <c r="AG125" i="113"/>
  <c r="AA126" i="113"/>
  <c r="AB126" i="113"/>
  <c r="AC126" i="113"/>
  <c r="AD126" i="113"/>
  <c r="AE126" i="113"/>
  <c r="AF126" i="113"/>
  <c r="AG126" i="113"/>
  <c r="AA127" i="113"/>
  <c r="AB127" i="113"/>
  <c r="AC127" i="113"/>
  <c r="AD127" i="113"/>
  <c r="AE127" i="113"/>
  <c r="AF127" i="113"/>
  <c r="AG127" i="113"/>
  <c r="AA128" i="113"/>
  <c r="AB128" i="113"/>
  <c r="AC128" i="113"/>
  <c r="AD128" i="113"/>
  <c r="AE128" i="113"/>
  <c r="AF128" i="113"/>
  <c r="AG128" i="113"/>
  <c r="AA129" i="113"/>
  <c r="AB129" i="113"/>
  <c r="AC129" i="113"/>
  <c r="AD129" i="113"/>
  <c r="AE129" i="113"/>
  <c r="AF129" i="113"/>
  <c r="AG129" i="113"/>
  <c r="AA130" i="113"/>
  <c r="AB130" i="113"/>
  <c r="AC130" i="113"/>
  <c r="AD130" i="113"/>
  <c r="AE130" i="113"/>
  <c r="AF130" i="113"/>
  <c r="AG130" i="113"/>
  <c r="AA131" i="113"/>
  <c r="AB131" i="113"/>
  <c r="AC131" i="113"/>
  <c r="AD131" i="113"/>
  <c r="AE131" i="113"/>
  <c r="AF131" i="113"/>
  <c r="AG131" i="113"/>
  <c r="S102" i="113"/>
  <c r="T102" i="113"/>
  <c r="U102" i="113"/>
  <c r="V102" i="113"/>
  <c r="W102" i="113"/>
  <c r="X102" i="113"/>
  <c r="Y102" i="113"/>
  <c r="S103" i="113"/>
  <c r="T103" i="113"/>
  <c r="U103" i="113"/>
  <c r="V103" i="113"/>
  <c r="W103" i="113"/>
  <c r="X103" i="113"/>
  <c r="Y103" i="113"/>
  <c r="S104" i="113"/>
  <c r="T104" i="113"/>
  <c r="U104" i="113"/>
  <c r="V104" i="113"/>
  <c r="W104" i="113"/>
  <c r="X104" i="113"/>
  <c r="Y104" i="113"/>
  <c r="S105" i="113"/>
  <c r="T105" i="113"/>
  <c r="U105" i="113"/>
  <c r="V105" i="113"/>
  <c r="W105" i="113"/>
  <c r="X105" i="113"/>
  <c r="Y105" i="113"/>
  <c r="S106" i="113"/>
  <c r="T106" i="113"/>
  <c r="U106" i="113"/>
  <c r="V106" i="113"/>
  <c r="W106" i="113"/>
  <c r="X106" i="113"/>
  <c r="Y106" i="113"/>
  <c r="S107" i="113"/>
  <c r="T107" i="113"/>
  <c r="U107" i="113"/>
  <c r="V107" i="113"/>
  <c r="W107" i="113"/>
  <c r="X107" i="113"/>
  <c r="Y107" i="113"/>
  <c r="S108" i="113"/>
  <c r="T108" i="113"/>
  <c r="U108" i="113"/>
  <c r="V108" i="113"/>
  <c r="W108" i="113"/>
  <c r="X108" i="113"/>
  <c r="Y108" i="113"/>
  <c r="S109" i="113"/>
  <c r="T109" i="113"/>
  <c r="U109" i="113"/>
  <c r="V109" i="113"/>
  <c r="W109" i="113"/>
  <c r="X109" i="113"/>
  <c r="Y109" i="113"/>
  <c r="S110" i="113"/>
  <c r="T110" i="113"/>
  <c r="U110" i="113"/>
  <c r="V110" i="113"/>
  <c r="W110" i="113"/>
  <c r="X110" i="113"/>
  <c r="Y110" i="113"/>
  <c r="S111" i="113"/>
  <c r="T111" i="113"/>
  <c r="U111" i="113"/>
  <c r="V111" i="113"/>
  <c r="W111" i="113"/>
  <c r="X111" i="113"/>
  <c r="Y111" i="113"/>
  <c r="S112" i="113"/>
  <c r="T112" i="113"/>
  <c r="U112" i="113"/>
  <c r="V112" i="113"/>
  <c r="W112" i="113"/>
  <c r="X112" i="113"/>
  <c r="Y112" i="113"/>
  <c r="S113" i="113"/>
  <c r="T113" i="113"/>
  <c r="U113" i="113"/>
  <c r="V113" i="113"/>
  <c r="W113" i="113"/>
  <c r="X113" i="113"/>
  <c r="Y113" i="113"/>
  <c r="S114" i="113"/>
  <c r="T114" i="113"/>
  <c r="U114" i="113"/>
  <c r="V114" i="113"/>
  <c r="W114" i="113"/>
  <c r="X114" i="113"/>
  <c r="Y114" i="113"/>
  <c r="S115" i="113"/>
  <c r="T115" i="113"/>
  <c r="U115" i="113"/>
  <c r="V115" i="113"/>
  <c r="W115" i="113"/>
  <c r="X115" i="113"/>
  <c r="Y115" i="113"/>
  <c r="S116" i="113"/>
  <c r="T116" i="113"/>
  <c r="U116" i="113"/>
  <c r="V116" i="113"/>
  <c r="W116" i="113"/>
  <c r="X116" i="113"/>
  <c r="Y116" i="113"/>
  <c r="S117" i="113"/>
  <c r="T117" i="113"/>
  <c r="U117" i="113"/>
  <c r="V117" i="113"/>
  <c r="W117" i="113"/>
  <c r="X117" i="113"/>
  <c r="Y117" i="113"/>
  <c r="S118" i="113"/>
  <c r="T118" i="113"/>
  <c r="U118" i="113"/>
  <c r="V118" i="113"/>
  <c r="W118" i="113"/>
  <c r="X118" i="113"/>
  <c r="Y118" i="113"/>
  <c r="S119" i="113"/>
  <c r="T119" i="113"/>
  <c r="U119" i="113"/>
  <c r="V119" i="113"/>
  <c r="W119" i="113"/>
  <c r="X119" i="113"/>
  <c r="Y119" i="113"/>
  <c r="S120" i="113"/>
  <c r="T120" i="113"/>
  <c r="U120" i="113"/>
  <c r="V120" i="113"/>
  <c r="W120" i="113"/>
  <c r="X120" i="113"/>
  <c r="Y120" i="113"/>
  <c r="S121" i="113"/>
  <c r="T121" i="113"/>
  <c r="U121" i="113"/>
  <c r="V121" i="113"/>
  <c r="W121" i="113"/>
  <c r="X121" i="113"/>
  <c r="Y121" i="113"/>
  <c r="S122" i="113"/>
  <c r="T122" i="113"/>
  <c r="U122" i="113"/>
  <c r="V122" i="113"/>
  <c r="W122" i="113"/>
  <c r="X122" i="113"/>
  <c r="Y122" i="113"/>
  <c r="S123" i="113"/>
  <c r="T123" i="113"/>
  <c r="U123" i="113"/>
  <c r="V123" i="113"/>
  <c r="W123" i="113"/>
  <c r="X123" i="113"/>
  <c r="Y123" i="113"/>
  <c r="S124" i="113"/>
  <c r="T124" i="113"/>
  <c r="U124" i="113"/>
  <c r="V124" i="113"/>
  <c r="W124" i="113"/>
  <c r="X124" i="113"/>
  <c r="Y124" i="113"/>
  <c r="S125" i="113"/>
  <c r="T125" i="113"/>
  <c r="U125" i="113"/>
  <c r="V125" i="113"/>
  <c r="W125" i="113"/>
  <c r="X125" i="113"/>
  <c r="Y125" i="113"/>
  <c r="S126" i="113"/>
  <c r="T126" i="113"/>
  <c r="U126" i="113"/>
  <c r="V126" i="113"/>
  <c r="W126" i="113"/>
  <c r="X126" i="113"/>
  <c r="Y126" i="113"/>
  <c r="S127" i="113"/>
  <c r="T127" i="113"/>
  <c r="U127" i="113"/>
  <c r="V127" i="113"/>
  <c r="W127" i="113"/>
  <c r="X127" i="113"/>
  <c r="Y127" i="113"/>
  <c r="S128" i="113"/>
  <c r="T128" i="113"/>
  <c r="U128" i="113"/>
  <c r="V128" i="113"/>
  <c r="W128" i="113"/>
  <c r="X128" i="113"/>
  <c r="Y128" i="113"/>
  <c r="S129" i="113"/>
  <c r="T129" i="113"/>
  <c r="U129" i="113"/>
  <c r="V129" i="113"/>
  <c r="W129" i="113"/>
  <c r="X129" i="113"/>
  <c r="Y129" i="113"/>
  <c r="S130" i="113"/>
  <c r="T130" i="113"/>
  <c r="U130" i="113"/>
  <c r="V130" i="113"/>
  <c r="W130" i="113"/>
  <c r="X130" i="113"/>
  <c r="Y130" i="113"/>
  <c r="S131" i="113"/>
  <c r="T131" i="113"/>
  <c r="U131" i="113"/>
  <c r="V131" i="113"/>
  <c r="W131" i="113"/>
  <c r="X131" i="113"/>
  <c r="Y131" i="113"/>
  <c r="Z131" i="113"/>
  <c r="Z130" i="113"/>
  <c r="Z129" i="113"/>
  <c r="Z128" i="113"/>
  <c r="Z127" i="113"/>
  <c r="Z126" i="113"/>
  <c r="Z125" i="113"/>
  <c r="Z124" i="113"/>
  <c r="Z123" i="113"/>
  <c r="Z122" i="113"/>
  <c r="Z121" i="113"/>
  <c r="Z120" i="113"/>
  <c r="Z119" i="113"/>
  <c r="Z118" i="113"/>
  <c r="Z117" i="113"/>
  <c r="Z116" i="113"/>
  <c r="Z115" i="113"/>
  <c r="Z114" i="113"/>
  <c r="Z113" i="113"/>
  <c r="Z112" i="113"/>
  <c r="Z111" i="113"/>
  <c r="Z110" i="113"/>
  <c r="Z109" i="113"/>
  <c r="Z108" i="113"/>
  <c r="R131" i="113"/>
  <c r="Z107" i="113"/>
  <c r="Z106" i="113"/>
  <c r="Z105" i="113"/>
  <c r="Z104" i="113"/>
  <c r="Z103" i="113"/>
  <c r="Z102" i="113"/>
  <c r="R102" i="113"/>
  <c r="R130" i="113"/>
  <c r="R129" i="113"/>
  <c r="R128" i="113"/>
  <c r="R127" i="113"/>
  <c r="R126" i="113"/>
  <c r="R125" i="113"/>
  <c r="R124" i="113"/>
  <c r="R123" i="113"/>
  <c r="R122" i="113"/>
  <c r="R121" i="113"/>
  <c r="R120" i="113"/>
  <c r="R119" i="113"/>
  <c r="R118" i="113"/>
  <c r="R117" i="113"/>
  <c r="R116" i="113"/>
  <c r="R115" i="113"/>
  <c r="R114" i="113"/>
  <c r="R113" i="113"/>
  <c r="R112" i="113"/>
  <c r="R111" i="113"/>
  <c r="R110" i="113"/>
  <c r="R109" i="113"/>
  <c r="R108" i="113"/>
  <c r="R107" i="113"/>
  <c r="R106" i="113"/>
  <c r="R105" i="113"/>
  <c r="R104" i="113"/>
  <c r="R103" i="113"/>
  <c r="E17" i="117" l="1"/>
  <c r="E18" i="117" s="1"/>
  <c r="E22" i="117"/>
  <c r="E23" i="117" s="1"/>
  <c r="E24" i="117" s="1"/>
  <c r="P20" i="115"/>
  <c r="E17" i="115"/>
  <c r="E22" i="115"/>
  <c r="E23" i="115" s="1"/>
  <c r="E24" i="115" s="1"/>
  <c r="E19" i="115"/>
  <c r="E18" i="115" l="1"/>
  <c r="E20" i="115"/>
  <c r="E21" i="115" l="1"/>
  <c r="B131" i="113" l="1"/>
  <c r="C131" i="113" s="1"/>
  <c r="B103" i="113"/>
  <c r="C103" i="113" s="1"/>
  <c r="B104" i="113"/>
  <c r="C104" i="113" s="1"/>
  <c r="B105" i="113"/>
  <c r="C105" i="113" s="1"/>
  <c r="B106" i="113"/>
  <c r="C106" i="113" s="1"/>
  <c r="B107" i="113"/>
  <c r="C107" i="113" s="1"/>
  <c r="B108" i="113"/>
  <c r="C108" i="113" s="1"/>
  <c r="B109" i="113"/>
  <c r="C109" i="113" s="1"/>
  <c r="B110" i="113"/>
  <c r="C110" i="113" s="1"/>
  <c r="B111" i="113"/>
  <c r="C111" i="113" s="1"/>
  <c r="B112" i="113"/>
  <c r="C112" i="113" s="1"/>
  <c r="B113" i="113"/>
  <c r="C113" i="113" s="1"/>
  <c r="B114" i="113"/>
  <c r="C114" i="113" s="1"/>
  <c r="B115" i="113"/>
  <c r="C115" i="113" s="1"/>
  <c r="B116" i="113"/>
  <c r="C116" i="113" s="1"/>
  <c r="B117" i="113"/>
  <c r="C117" i="113" s="1"/>
  <c r="B118" i="113"/>
  <c r="C118" i="113" s="1"/>
  <c r="B119" i="113"/>
  <c r="C119" i="113" s="1"/>
  <c r="B120" i="113"/>
  <c r="C120" i="113" s="1"/>
  <c r="B121" i="113"/>
  <c r="C121" i="113" s="1"/>
  <c r="B122" i="113"/>
  <c r="C122" i="113" s="1"/>
  <c r="B123" i="113"/>
  <c r="C123" i="113" s="1"/>
  <c r="B124" i="113"/>
  <c r="C124" i="113" s="1"/>
  <c r="B125" i="113"/>
  <c r="C125" i="113" s="1"/>
  <c r="B126" i="113"/>
  <c r="C126" i="113" s="1"/>
  <c r="B127" i="113"/>
  <c r="C127" i="113" s="1"/>
  <c r="B128" i="113"/>
  <c r="C128" i="113" s="1"/>
  <c r="B129" i="113"/>
  <c r="C129" i="113" s="1"/>
  <c r="B130" i="113"/>
  <c r="C130" i="113" s="1"/>
  <c r="B102" i="113"/>
  <c r="H127" i="113"/>
  <c r="H128" i="113" s="1"/>
  <c r="H129" i="113" s="1"/>
  <c r="H130" i="113" s="1"/>
  <c r="H131" i="113" s="1"/>
  <c r="M85" i="113" l="1"/>
  <c r="N85" i="113"/>
  <c r="O85" i="113"/>
  <c r="P85" i="113"/>
  <c r="M86" i="113"/>
  <c r="N86" i="113"/>
  <c r="O86" i="113"/>
  <c r="P86" i="113"/>
  <c r="M87" i="113"/>
  <c r="N87" i="113"/>
  <c r="O87" i="113"/>
  <c r="P87" i="113"/>
  <c r="M88" i="113"/>
  <c r="N88" i="113"/>
  <c r="O88" i="113"/>
  <c r="P88" i="113"/>
  <c r="M89" i="113"/>
  <c r="N89" i="113"/>
  <c r="O89" i="113"/>
  <c r="P89" i="113"/>
  <c r="L86" i="113"/>
  <c r="L87" i="113"/>
  <c r="L88" i="113"/>
  <c r="L89" i="113"/>
  <c r="L85" i="113"/>
  <c r="S30" i="113"/>
  <c r="T30" i="113"/>
  <c r="U30" i="113"/>
  <c r="V30" i="113"/>
  <c r="W30" i="113"/>
  <c r="X30" i="113"/>
  <c r="Y30" i="113"/>
  <c r="S31" i="113"/>
  <c r="T31" i="113"/>
  <c r="U31" i="113"/>
  <c r="V31" i="113"/>
  <c r="W31" i="113"/>
  <c r="X31" i="113"/>
  <c r="Y31" i="113"/>
  <c r="S32" i="113"/>
  <c r="T32" i="113"/>
  <c r="U32" i="113"/>
  <c r="V32" i="113"/>
  <c r="W32" i="113"/>
  <c r="X32" i="113"/>
  <c r="Y32" i="113"/>
  <c r="S33" i="113"/>
  <c r="T33" i="113"/>
  <c r="U33" i="113"/>
  <c r="V33" i="113"/>
  <c r="W33" i="113"/>
  <c r="X33" i="113"/>
  <c r="Y33" i="113"/>
  <c r="S34" i="113"/>
  <c r="T34" i="113"/>
  <c r="U34" i="113"/>
  <c r="V34" i="113"/>
  <c r="W34" i="113"/>
  <c r="X34" i="113"/>
  <c r="Y34" i="113"/>
  <c r="S35" i="113"/>
  <c r="T35" i="113"/>
  <c r="U35" i="113"/>
  <c r="V35" i="113"/>
  <c r="W35" i="113"/>
  <c r="X35" i="113"/>
  <c r="Y35" i="113"/>
  <c r="S36" i="113"/>
  <c r="T36" i="113"/>
  <c r="U36" i="113"/>
  <c r="V36" i="113"/>
  <c r="W36" i="113"/>
  <c r="X36" i="113"/>
  <c r="Y36" i="113"/>
  <c r="S37" i="113"/>
  <c r="T37" i="113"/>
  <c r="U37" i="113"/>
  <c r="V37" i="113"/>
  <c r="W37" i="113"/>
  <c r="X37" i="113"/>
  <c r="Y37" i="113"/>
  <c r="S38" i="113"/>
  <c r="T38" i="113"/>
  <c r="U38" i="113"/>
  <c r="V38" i="113"/>
  <c r="W38" i="113"/>
  <c r="X38" i="113"/>
  <c r="Y38" i="113"/>
  <c r="S39" i="113"/>
  <c r="T39" i="113"/>
  <c r="U39" i="113"/>
  <c r="V39" i="113"/>
  <c r="W39" i="113"/>
  <c r="X39" i="113"/>
  <c r="Y39" i="113"/>
  <c r="S40" i="113"/>
  <c r="T40" i="113"/>
  <c r="U40" i="113"/>
  <c r="V40" i="113"/>
  <c r="W40" i="113"/>
  <c r="X40" i="113"/>
  <c r="Y40" i="113"/>
  <c r="S41" i="113"/>
  <c r="T41" i="113"/>
  <c r="U41" i="113"/>
  <c r="V41" i="113"/>
  <c r="W41" i="113"/>
  <c r="X41" i="113"/>
  <c r="Y41" i="113"/>
  <c r="S42" i="113"/>
  <c r="T42" i="113"/>
  <c r="U42" i="113"/>
  <c r="V42" i="113"/>
  <c r="W42" i="113"/>
  <c r="X42" i="113"/>
  <c r="Y42" i="113"/>
  <c r="S43" i="113"/>
  <c r="T43" i="113"/>
  <c r="U43" i="113"/>
  <c r="V43" i="113"/>
  <c r="W43" i="113"/>
  <c r="X43" i="113"/>
  <c r="Y43" i="113"/>
  <c r="S44" i="113"/>
  <c r="T44" i="113"/>
  <c r="U44" i="113"/>
  <c r="V44" i="113"/>
  <c r="W44" i="113"/>
  <c r="X44" i="113"/>
  <c r="Y44" i="113"/>
  <c r="S45" i="113"/>
  <c r="T45" i="113"/>
  <c r="U45" i="113"/>
  <c r="V45" i="113"/>
  <c r="W45" i="113"/>
  <c r="X45" i="113"/>
  <c r="Y45" i="113"/>
  <c r="S46" i="113"/>
  <c r="T46" i="113"/>
  <c r="U46" i="113"/>
  <c r="V46" i="113"/>
  <c r="W46" i="113"/>
  <c r="X46" i="113"/>
  <c r="Y46" i="113"/>
  <c r="S47" i="113"/>
  <c r="T47" i="113"/>
  <c r="U47" i="113"/>
  <c r="V47" i="113"/>
  <c r="W47" i="113"/>
  <c r="X47" i="113"/>
  <c r="Y47" i="113"/>
  <c r="S48" i="113"/>
  <c r="T48" i="113"/>
  <c r="U48" i="113"/>
  <c r="V48" i="113"/>
  <c r="W48" i="113"/>
  <c r="X48" i="113"/>
  <c r="Y48" i="113"/>
  <c r="S49" i="113"/>
  <c r="T49" i="113"/>
  <c r="U49" i="113"/>
  <c r="V49" i="113"/>
  <c r="W49" i="113"/>
  <c r="X49" i="113"/>
  <c r="Y49" i="113"/>
  <c r="S50" i="113"/>
  <c r="T50" i="113"/>
  <c r="U50" i="113"/>
  <c r="V50" i="113"/>
  <c r="W50" i="113"/>
  <c r="X50" i="113"/>
  <c r="Y50" i="113"/>
  <c r="S51" i="113"/>
  <c r="T51" i="113"/>
  <c r="U51" i="113"/>
  <c r="V51" i="113"/>
  <c r="W51" i="113"/>
  <c r="X51" i="113"/>
  <c r="Y51" i="113"/>
  <c r="S52" i="113"/>
  <c r="T52" i="113"/>
  <c r="U52" i="113"/>
  <c r="V52" i="113"/>
  <c r="W52" i="113"/>
  <c r="X52" i="113"/>
  <c r="Y52" i="113"/>
  <c r="S53" i="113"/>
  <c r="T53" i="113"/>
  <c r="U53" i="113"/>
  <c r="V53" i="113"/>
  <c r="W53" i="113"/>
  <c r="X53" i="113"/>
  <c r="Y53" i="113"/>
  <c r="S54" i="113"/>
  <c r="T54" i="113"/>
  <c r="U54" i="113"/>
  <c r="V54" i="113"/>
  <c r="W54" i="113"/>
  <c r="X54" i="113"/>
  <c r="Y54" i="113"/>
  <c r="S55" i="113"/>
  <c r="T55" i="113"/>
  <c r="U55" i="113"/>
  <c r="V55" i="113"/>
  <c r="W55" i="113"/>
  <c r="X55" i="113"/>
  <c r="Y55" i="113"/>
  <c r="S56" i="113"/>
  <c r="T56" i="113"/>
  <c r="U56" i="113"/>
  <c r="V56" i="113"/>
  <c r="W56" i="113"/>
  <c r="X56" i="113"/>
  <c r="Y56" i="113"/>
  <c r="S57" i="113"/>
  <c r="T57" i="113"/>
  <c r="U57" i="113"/>
  <c r="V57" i="113"/>
  <c r="W57" i="113"/>
  <c r="X57" i="113"/>
  <c r="Y57" i="113"/>
  <c r="S58" i="113"/>
  <c r="T58" i="113"/>
  <c r="U58" i="113"/>
  <c r="V58" i="113"/>
  <c r="W58" i="113"/>
  <c r="X58" i="113"/>
  <c r="Y58" i="113"/>
  <c r="S59" i="113"/>
  <c r="T59" i="113"/>
  <c r="U59" i="113"/>
  <c r="V59" i="113"/>
  <c r="W59" i="113"/>
  <c r="X59" i="113"/>
  <c r="Y59" i="113"/>
  <c r="S60" i="113"/>
  <c r="T60" i="113"/>
  <c r="U60" i="113"/>
  <c r="V60" i="113"/>
  <c r="W60" i="113"/>
  <c r="X60" i="113"/>
  <c r="Y60" i="113"/>
  <c r="S61" i="113"/>
  <c r="T61" i="113"/>
  <c r="U61" i="113"/>
  <c r="V61" i="113"/>
  <c r="W61" i="113"/>
  <c r="X61" i="113"/>
  <c r="Y61" i="113"/>
  <c r="S62" i="113"/>
  <c r="T62" i="113"/>
  <c r="U62" i="113"/>
  <c r="V62" i="113"/>
  <c r="W62" i="113"/>
  <c r="X62" i="113"/>
  <c r="Y62" i="113"/>
  <c r="S63" i="113"/>
  <c r="T63" i="113"/>
  <c r="U63" i="113"/>
  <c r="V63" i="113"/>
  <c r="W63" i="113"/>
  <c r="X63" i="113"/>
  <c r="Y63" i="113"/>
  <c r="S64" i="113"/>
  <c r="T64" i="113"/>
  <c r="U64" i="113"/>
  <c r="V64" i="113"/>
  <c r="W64" i="113"/>
  <c r="X64" i="113"/>
  <c r="Y64" i="113"/>
  <c r="S65" i="113"/>
  <c r="T65" i="113"/>
  <c r="U65" i="113"/>
  <c r="V65" i="113"/>
  <c r="W65" i="113"/>
  <c r="X65" i="113"/>
  <c r="Y65" i="113"/>
  <c r="S66" i="113"/>
  <c r="T66" i="113"/>
  <c r="U66" i="113"/>
  <c r="V66" i="113"/>
  <c r="W66" i="113"/>
  <c r="X66" i="113"/>
  <c r="Y66" i="113"/>
  <c r="S67" i="113"/>
  <c r="T67" i="113"/>
  <c r="U67" i="113"/>
  <c r="V67" i="113"/>
  <c r="W67" i="113"/>
  <c r="X67" i="113"/>
  <c r="Y67" i="113"/>
  <c r="S68" i="113"/>
  <c r="T68" i="113"/>
  <c r="U68" i="113"/>
  <c r="V68" i="113"/>
  <c r="W68" i="113"/>
  <c r="X68" i="113"/>
  <c r="Y68" i="113"/>
  <c r="S69" i="113"/>
  <c r="T69" i="113"/>
  <c r="U69" i="113"/>
  <c r="V69" i="113"/>
  <c r="W69" i="113"/>
  <c r="X69" i="113"/>
  <c r="Y69" i="113"/>
  <c r="S70" i="113"/>
  <c r="T70" i="113"/>
  <c r="U70" i="113"/>
  <c r="V70" i="113"/>
  <c r="W70" i="113"/>
  <c r="X70" i="113"/>
  <c r="Y70" i="113"/>
  <c r="S71" i="113"/>
  <c r="T71" i="113"/>
  <c r="U71" i="113"/>
  <c r="V71" i="113"/>
  <c r="W71" i="113"/>
  <c r="X71" i="113"/>
  <c r="Y71" i="113"/>
  <c r="S72" i="113"/>
  <c r="T72" i="113"/>
  <c r="U72" i="113"/>
  <c r="V72" i="113"/>
  <c r="W72" i="113"/>
  <c r="X72" i="113"/>
  <c r="Y72" i="113"/>
  <c r="S73" i="113"/>
  <c r="T73" i="113"/>
  <c r="U73" i="113"/>
  <c r="V73" i="113"/>
  <c r="W73" i="113"/>
  <c r="X73" i="113"/>
  <c r="Y73" i="113"/>
  <c r="S74" i="113"/>
  <c r="T74" i="113"/>
  <c r="U74" i="113"/>
  <c r="V74" i="113"/>
  <c r="W74" i="113"/>
  <c r="X74" i="113"/>
  <c r="Y74" i="113"/>
  <c r="S75" i="113"/>
  <c r="T75" i="113"/>
  <c r="U75" i="113"/>
  <c r="V75" i="113"/>
  <c r="W75" i="113"/>
  <c r="X75" i="113"/>
  <c r="Y75" i="113"/>
  <c r="S76" i="113"/>
  <c r="T76" i="113"/>
  <c r="U76" i="113"/>
  <c r="V76" i="113"/>
  <c r="W76" i="113"/>
  <c r="X76" i="113"/>
  <c r="Y76" i="113"/>
  <c r="S77" i="113"/>
  <c r="T77" i="113"/>
  <c r="U77" i="113"/>
  <c r="V77" i="113"/>
  <c r="W77" i="113"/>
  <c r="X77" i="113"/>
  <c r="Y77" i="113"/>
  <c r="S78" i="113"/>
  <c r="T78" i="113"/>
  <c r="U78" i="113"/>
  <c r="V78" i="113"/>
  <c r="W78" i="113"/>
  <c r="X78" i="113"/>
  <c r="Y78" i="113"/>
  <c r="AA33" i="113"/>
  <c r="AB33" i="113"/>
  <c r="AC33" i="113"/>
  <c r="AD33" i="113"/>
  <c r="AE33" i="113"/>
  <c r="AF33" i="113"/>
  <c r="AG33" i="113"/>
  <c r="AA34" i="113"/>
  <c r="AB34" i="113"/>
  <c r="AC34" i="113"/>
  <c r="AD34" i="113"/>
  <c r="AE34" i="113"/>
  <c r="AF34" i="113"/>
  <c r="AG34" i="113"/>
  <c r="AA35" i="113"/>
  <c r="AB35" i="113"/>
  <c r="AC35" i="113"/>
  <c r="AD35" i="113"/>
  <c r="AE35" i="113"/>
  <c r="AF35" i="113"/>
  <c r="AG35" i="113"/>
  <c r="AA36" i="113"/>
  <c r="AB36" i="113"/>
  <c r="AC36" i="113"/>
  <c r="AD36" i="113"/>
  <c r="AE36" i="113"/>
  <c r="AF36" i="113"/>
  <c r="AG36" i="113"/>
  <c r="AA37" i="113"/>
  <c r="AB37" i="113"/>
  <c r="AC37" i="113"/>
  <c r="AD37" i="113"/>
  <c r="AE37" i="113"/>
  <c r="AF37" i="113"/>
  <c r="AG37" i="113"/>
  <c r="AA38" i="113"/>
  <c r="AB38" i="113"/>
  <c r="AC38" i="113"/>
  <c r="AD38" i="113"/>
  <c r="AE38" i="113"/>
  <c r="AF38" i="113"/>
  <c r="AG38" i="113"/>
  <c r="AA39" i="113"/>
  <c r="AB39" i="113"/>
  <c r="AC39" i="113"/>
  <c r="AD39" i="113"/>
  <c r="AE39" i="113"/>
  <c r="AF39" i="113"/>
  <c r="AG39" i="113"/>
  <c r="AA40" i="113"/>
  <c r="AB40" i="113"/>
  <c r="AC40" i="113"/>
  <c r="AD40" i="113"/>
  <c r="AE40" i="113"/>
  <c r="AF40" i="113"/>
  <c r="AG40" i="113"/>
  <c r="AA41" i="113"/>
  <c r="AB41" i="113"/>
  <c r="AC41" i="113"/>
  <c r="AD41" i="113"/>
  <c r="AE41" i="113"/>
  <c r="AF41" i="113"/>
  <c r="AG41" i="113"/>
  <c r="AA42" i="113"/>
  <c r="AB42" i="113"/>
  <c r="AC42" i="113"/>
  <c r="AD42" i="113"/>
  <c r="AE42" i="113"/>
  <c r="AF42" i="113"/>
  <c r="AG42" i="113"/>
  <c r="AA43" i="113"/>
  <c r="AB43" i="113"/>
  <c r="AC43" i="113"/>
  <c r="AD43" i="113"/>
  <c r="AE43" i="113"/>
  <c r="AF43" i="113"/>
  <c r="AG43" i="113"/>
  <c r="AA44" i="113"/>
  <c r="AB44" i="113"/>
  <c r="AC44" i="113"/>
  <c r="AD44" i="113"/>
  <c r="AE44" i="113"/>
  <c r="AF44" i="113"/>
  <c r="AG44" i="113"/>
  <c r="AA45" i="113"/>
  <c r="AB45" i="113"/>
  <c r="AC45" i="113"/>
  <c r="AD45" i="113"/>
  <c r="AE45" i="113"/>
  <c r="AF45" i="113"/>
  <c r="AG45" i="113"/>
  <c r="AA46" i="113"/>
  <c r="AB46" i="113"/>
  <c r="AC46" i="113"/>
  <c r="AD46" i="113"/>
  <c r="AE46" i="113"/>
  <c r="AF46" i="113"/>
  <c r="AG46" i="113"/>
  <c r="AA47" i="113"/>
  <c r="AB47" i="113"/>
  <c r="AC47" i="113"/>
  <c r="AD47" i="113"/>
  <c r="AE47" i="113"/>
  <c r="AF47" i="113"/>
  <c r="AG47" i="113"/>
  <c r="AA48" i="113"/>
  <c r="AB48" i="113"/>
  <c r="AC48" i="113"/>
  <c r="AD48" i="113"/>
  <c r="AE48" i="113"/>
  <c r="AF48" i="113"/>
  <c r="AG48" i="113"/>
  <c r="AA49" i="113"/>
  <c r="AB49" i="113"/>
  <c r="AC49" i="113"/>
  <c r="AD49" i="113"/>
  <c r="AE49" i="113"/>
  <c r="AF49" i="113"/>
  <c r="AG49" i="113"/>
  <c r="AA50" i="113"/>
  <c r="AB50" i="113"/>
  <c r="AC50" i="113"/>
  <c r="AD50" i="113"/>
  <c r="AE50" i="113"/>
  <c r="AF50" i="113"/>
  <c r="AG50" i="113"/>
  <c r="AA51" i="113"/>
  <c r="AB51" i="113"/>
  <c r="AC51" i="113"/>
  <c r="AD51" i="113"/>
  <c r="AE51" i="113"/>
  <c r="AF51" i="113"/>
  <c r="AG51" i="113"/>
  <c r="AA52" i="113"/>
  <c r="AB52" i="113"/>
  <c r="AC52" i="113"/>
  <c r="AD52" i="113"/>
  <c r="AE52" i="113"/>
  <c r="AF52" i="113"/>
  <c r="AG52" i="113"/>
  <c r="AA53" i="113"/>
  <c r="AB53" i="113"/>
  <c r="AC53" i="113"/>
  <c r="AD53" i="113"/>
  <c r="AE53" i="113"/>
  <c r="AF53" i="113"/>
  <c r="AG53" i="113"/>
  <c r="AA54" i="113"/>
  <c r="AB54" i="113"/>
  <c r="AC54" i="113"/>
  <c r="AD54" i="113"/>
  <c r="AE54" i="113"/>
  <c r="AF54" i="113"/>
  <c r="AG54" i="113"/>
  <c r="AA55" i="113"/>
  <c r="AB55" i="113"/>
  <c r="AC55" i="113"/>
  <c r="AD55" i="113"/>
  <c r="AE55" i="113"/>
  <c r="AF55" i="113"/>
  <c r="AG55" i="113"/>
  <c r="AA56" i="113"/>
  <c r="AB56" i="113"/>
  <c r="AC56" i="113"/>
  <c r="AD56" i="113"/>
  <c r="AE56" i="113"/>
  <c r="AF56" i="113"/>
  <c r="AG56" i="113"/>
  <c r="AA57" i="113"/>
  <c r="AB57" i="113"/>
  <c r="AC57" i="113"/>
  <c r="AD57" i="113"/>
  <c r="AE57" i="113"/>
  <c r="AF57" i="113"/>
  <c r="AG57" i="113"/>
  <c r="AA58" i="113"/>
  <c r="AB58" i="113"/>
  <c r="AC58" i="113"/>
  <c r="AD58" i="113"/>
  <c r="AE58" i="113"/>
  <c r="AF58" i="113"/>
  <c r="AG58" i="113"/>
  <c r="AA59" i="113"/>
  <c r="AB59" i="113"/>
  <c r="AC59" i="113"/>
  <c r="AD59" i="113"/>
  <c r="AE59" i="113"/>
  <c r="AF59" i="113"/>
  <c r="AG59" i="113"/>
  <c r="AA60" i="113"/>
  <c r="AB60" i="113"/>
  <c r="AC60" i="113"/>
  <c r="AD60" i="113"/>
  <c r="AE60" i="113"/>
  <c r="AF60" i="113"/>
  <c r="AG60" i="113"/>
  <c r="AA61" i="113"/>
  <c r="AB61" i="113"/>
  <c r="AC61" i="113"/>
  <c r="AD61" i="113"/>
  <c r="AE61" i="113"/>
  <c r="AF61" i="113"/>
  <c r="AG61" i="113"/>
  <c r="AA62" i="113"/>
  <c r="AB62" i="113"/>
  <c r="AC62" i="113"/>
  <c r="AD62" i="113"/>
  <c r="AE62" i="113"/>
  <c r="AF62" i="113"/>
  <c r="AG62" i="113"/>
  <c r="AA63" i="113"/>
  <c r="AB63" i="113"/>
  <c r="AC63" i="113"/>
  <c r="AD63" i="113"/>
  <c r="AE63" i="113"/>
  <c r="AF63" i="113"/>
  <c r="AG63" i="113"/>
  <c r="AA64" i="113"/>
  <c r="AB64" i="113"/>
  <c r="AC64" i="113"/>
  <c r="AD64" i="113"/>
  <c r="AE64" i="113"/>
  <c r="AF64" i="113"/>
  <c r="AG64" i="113"/>
  <c r="AA65" i="113"/>
  <c r="AB65" i="113"/>
  <c r="AC65" i="113"/>
  <c r="AD65" i="113"/>
  <c r="AE65" i="113"/>
  <c r="AF65" i="113"/>
  <c r="AG65" i="113"/>
  <c r="AA66" i="113"/>
  <c r="AB66" i="113"/>
  <c r="AC66" i="113"/>
  <c r="AD66" i="113"/>
  <c r="AE66" i="113"/>
  <c r="AF66" i="113"/>
  <c r="AG66" i="113"/>
  <c r="AA67" i="113"/>
  <c r="AB67" i="113"/>
  <c r="AC67" i="113"/>
  <c r="AD67" i="113"/>
  <c r="AE67" i="113"/>
  <c r="AF67" i="113"/>
  <c r="AG67" i="113"/>
  <c r="AA68" i="113"/>
  <c r="AB68" i="113"/>
  <c r="AC68" i="113"/>
  <c r="AD68" i="113"/>
  <c r="AE68" i="113"/>
  <c r="AF68" i="113"/>
  <c r="AG68" i="113"/>
  <c r="AA69" i="113"/>
  <c r="AB69" i="113"/>
  <c r="AC69" i="113"/>
  <c r="AD69" i="113"/>
  <c r="AE69" i="113"/>
  <c r="AF69" i="113"/>
  <c r="AG69" i="113"/>
  <c r="AA70" i="113"/>
  <c r="AB70" i="113"/>
  <c r="AC70" i="113"/>
  <c r="AD70" i="113"/>
  <c r="AE70" i="113"/>
  <c r="AF70" i="113"/>
  <c r="AG70" i="113"/>
  <c r="AA71" i="113"/>
  <c r="AB71" i="113"/>
  <c r="AC71" i="113"/>
  <c r="AD71" i="113"/>
  <c r="AE71" i="113"/>
  <c r="AF71" i="113"/>
  <c r="AG71" i="113"/>
  <c r="AA72" i="113"/>
  <c r="AB72" i="113"/>
  <c r="AC72" i="113"/>
  <c r="AD72" i="113"/>
  <c r="AE72" i="113"/>
  <c r="AF72" i="113"/>
  <c r="AG72" i="113"/>
  <c r="AA73" i="113"/>
  <c r="AB73" i="113"/>
  <c r="AC73" i="113"/>
  <c r="AD73" i="113"/>
  <c r="AE73" i="113"/>
  <c r="AF73" i="113"/>
  <c r="AG73" i="113"/>
  <c r="AA74" i="113"/>
  <c r="AB74" i="113"/>
  <c r="AC74" i="113"/>
  <c r="AD74" i="113"/>
  <c r="AE74" i="113"/>
  <c r="AF74" i="113"/>
  <c r="AG74" i="113"/>
  <c r="AA75" i="113"/>
  <c r="AB75" i="113"/>
  <c r="AC75" i="113"/>
  <c r="AD75" i="113"/>
  <c r="AE75" i="113"/>
  <c r="AF75" i="113"/>
  <c r="AG75" i="113"/>
  <c r="AA76" i="113"/>
  <c r="AB76" i="113"/>
  <c r="AC76" i="113"/>
  <c r="AD76" i="113"/>
  <c r="AE76" i="113"/>
  <c r="AF76" i="113"/>
  <c r="AG76" i="113"/>
  <c r="AA77" i="113"/>
  <c r="AB77" i="113"/>
  <c r="AC77" i="113"/>
  <c r="AD77" i="113"/>
  <c r="AE77" i="113"/>
  <c r="AF77" i="113"/>
  <c r="AG77" i="113"/>
  <c r="AA78" i="113"/>
  <c r="AB78" i="113"/>
  <c r="AC78" i="113"/>
  <c r="AD78" i="113"/>
  <c r="AE78" i="113"/>
  <c r="AF78" i="113"/>
  <c r="AG78" i="113"/>
  <c r="AA32" i="113"/>
  <c r="AB32" i="113"/>
  <c r="AC32" i="113"/>
  <c r="AD32" i="113"/>
  <c r="AE32" i="113"/>
  <c r="AF32" i="113"/>
  <c r="AG32" i="113"/>
  <c r="AA31" i="113"/>
  <c r="AB31" i="113"/>
  <c r="AC31" i="113"/>
  <c r="AD31" i="113"/>
  <c r="AE31" i="113"/>
  <c r="AF31" i="113"/>
  <c r="AG31" i="113"/>
  <c r="AA30" i="113"/>
  <c r="AB30" i="113"/>
  <c r="AC30" i="113"/>
  <c r="AD30" i="113"/>
  <c r="AE30" i="113"/>
  <c r="AF30" i="113"/>
  <c r="AG30" i="113"/>
  <c r="AA29" i="113"/>
  <c r="AB29" i="113"/>
  <c r="AC29" i="113"/>
  <c r="AD29" i="113"/>
  <c r="AE29" i="113"/>
  <c r="AF29" i="113"/>
  <c r="AG29" i="113"/>
  <c r="Z72" i="113"/>
  <c r="Z71" i="113"/>
  <c r="Z70" i="113"/>
  <c r="Z69" i="113"/>
  <c r="Z68" i="113"/>
  <c r="Z67" i="113"/>
  <c r="Z66" i="113"/>
  <c r="Z65" i="113"/>
  <c r="Z64" i="113"/>
  <c r="Z63" i="113"/>
  <c r="Z62" i="113"/>
  <c r="Z61" i="113"/>
  <c r="Z60" i="113"/>
  <c r="Z59" i="113"/>
  <c r="Z58" i="113"/>
  <c r="Z57" i="113"/>
  <c r="Z56" i="113"/>
  <c r="Z55" i="113"/>
  <c r="Z54" i="113"/>
  <c r="Z53" i="113"/>
  <c r="Z52" i="113"/>
  <c r="Z51" i="113"/>
  <c r="Z50" i="113"/>
  <c r="Z49" i="113"/>
  <c r="Z48" i="113"/>
  <c r="Z47" i="113"/>
  <c r="Z46" i="113"/>
  <c r="Z45" i="113"/>
  <c r="Z44" i="113"/>
  <c r="Z43" i="113"/>
  <c r="Z42" i="113"/>
  <c r="Z41" i="113"/>
  <c r="Z40" i="113"/>
  <c r="Z39" i="113"/>
  <c r="Z38" i="113"/>
  <c r="Z37" i="113"/>
  <c r="Z36" i="113"/>
  <c r="Z35" i="113"/>
  <c r="Z34" i="113"/>
  <c r="Z33" i="113"/>
  <c r="Z32" i="113"/>
  <c r="Z31" i="113"/>
  <c r="Z78" i="113"/>
  <c r="Z77" i="113"/>
  <c r="Z76" i="113"/>
  <c r="Z75" i="113"/>
  <c r="Z74" i="113"/>
  <c r="Z73" i="113"/>
  <c r="R78" i="113"/>
  <c r="R77" i="113"/>
  <c r="R76" i="113"/>
  <c r="R75" i="113"/>
  <c r="R74" i="113"/>
  <c r="R73" i="113"/>
  <c r="R72" i="113"/>
  <c r="R71" i="113"/>
  <c r="R70" i="113"/>
  <c r="R69" i="113"/>
  <c r="R68" i="113"/>
  <c r="R67" i="113"/>
  <c r="R66" i="113"/>
  <c r="R65" i="113"/>
  <c r="R64" i="113"/>
  <c r="R63" i="113"/>
  <c r="R62" i="113"/>
  <c r="R61" i="113"/>
  <c r="R60" i="113"/>
  <c r="R59" i="113"/>
  <c r="R58" i="113"/>
  <c r="R57" i="113"/>
  <c r="R56" i="113"/>
  <c r="R55" i="113"/>
  <c r="R54" i="113"/>
  <c r="R53" i="113"/>
  <c r="R52" i="113"/>
  <c r="R51" i="113"/>
  <c r="R50" i="113"/>
  <c r="R49" i="113"/>
  <c r="R48" i="113"/>
  <c r="R47" i="113"/>
  <c r="R46" i="113"/>
  <c r="R45" i="113"/>
  <c r="R44" i="113"/>
  <c r="R43" i="113"/>
  <c r="R42" i="113"/>
  <c r="R41" i="113"/>
  <c r="R40" i="113"/>
  <c r="R39" i="113"/>
  <c r="R38" i="113"/>
  <c r="R37" i="113"/>
  <c r="R36" i="113"/>
  <c r="R35" i="113"/>
  <c r="R34" i="113"/>
  <c r="R33" i="113"/>
  <c r="R32" i="113"/>
  <c r="R31" i="113"/>
  <c r="R30" i="113"/>
  <c r="S29" i="113"/>
  <c r="T29" i="113"/>
  <c r="U29" i="113"/>
  <c r="V29" i="113"/>
  <c r="W29" i="113"/>
  <c r="X29" i="113"/>
  <c r="Y29" i="113"/>
  <c r="R29" i="113"/>
  <c r="R24" i="113" l="1"/>
  <c r="R23" i="113"/>
  <c r="R22" i="113"/>
  <c r="R21" i="113"/>
  <c r="R20" i="113"/>
  <c r="R19" i="113"/>
  <c r="R18" i="113"/>
  <c r="R17" i="113"/>
  <c r="R16" i="113"/>
  <c r="S17" i="113"/>
  <c r="T17" i="113"/>
  <c r="U17" i="113"/>
  <c r="V17" i="113"/>
  <c r="S24" i="113"/>
  <c r="T24" i="113"/>
  <c r="U24" i="113"/>
  <c r="V24" i="113"/>
  <c r="S23" i="113"/>
  <c r="T23" i="113"/>
  <c r="U23" i="113"/>
  <c r="V23" i="113"/>
  <c r="S22" i="113"/>
  <c r="T22" i="113"/>
  <c r="U22" i="113"/>
  <c r="V22" i="113"/>
  <c r="S21" i="113"/>
  <c r="T21" i="113"/>
  <c r="U21" i="113"/>
  <c r="V21" i="113"/>
  <c r="S20" i="113"/>
  <c r="T20" i="113"/>
  <c r="U20" i="113"/>
  <c r="V20" i="113"/>
  <c r="S19" i="113"/>
  <c r="T19" i="113"/>
  <c r="U19" i="113"/>
  <c r="V19" i="113"/>
  <c r="S18" i="113"/>
  <c r="T18" i="113"/>
  <c r="U18" i="113"/>
  <c r="V18" i="113"/>
  <c r="S16" i="113"/>
  <c r="T16" i="113"/>
  <c r="U16" i="113"/>
  <c r="V16" i="113"/>
  <c r="P18" i="113"/>
  <c r="P21" i="113" s="1"/>
  <c r="P17" i="113"/>
  <c r="P20" i="113" s="1"/>
  <c r="P23" i="113" l="1"/>
  <c r="P24" i="113"/>
  <c r="B17" i="113"/>
  <c r="C17" i="113" s="1"/>
  <c r="B18" i="113"/>
  <c r="C18" i="113" s="1"/>
  <c r="B19" i="113"/>
  <c r="C19" i="113" s="1"/>
  <c r="B20" i="113"/>
  <c r="C20" i="113" s="1"/>
  <c r="B21" i="113"/>
  <c r="C21" i="113" s="1"/>
  <c r="B22" i="113"/>
  <c r="C22" i="113" s="1"/>
  <c r="B23" i="113"/>
  <c r="C23" i="113" s="1"/>
  <c r="B24" i="113"/>
  <c r="C24" i="113" s="1"/>
  <c r="B16" i="113"/>
  <c r="B6" i="113"/>
  <c r="B7" i="113"/>
  <c r="B8" i="113"/>
  <c r="B9" i="113"/>
  <c r="B10" i="113"/>
  <c r="B11" i="113"/>
  <c r="L11" i="113"/>
  <c r="M11" i="113"/>
  <c r="N11" i="113"/>
  <c r="O11" i="113"/>
  <c r="K11" i="113"/>
  <c r="E64" i="113" l="1"/>
  <c r="D139" i="113"/>
  <c r="D136" i="113"/>
  <c r="D127" i="113"/>
  <c r="D128" i="113" s="1"/>
  <c r="D129" i="113" s="1"/>
  <c r="D130" i="113" s="1"/>
  <c r="D131" i="113" s="1"/>
  <c r="H121" i="113"/>
  <c r="D121" i="113"/>
  <c r="D122" i="113" s="1"/>
  <c r="D123" i="113" s="1"/>
  <c r="D124" i="113" s="1"/>
  <c r="D125" i="113" s="1"/>
  <c r="H115" i="113"/>
  <c r="H109" i="113"/>
  <c r="Q103" i="113"/>
  <c r="Q104" i="113" s="1"/>
  <c r="Q105" i="113" s="1"/>
  <c r="Q106" i="113" s="1"/>
  <c r="Q107" i="113" s="1"/>
  <c r="Q108" i="113" s="1"/>
  <c r="Q109" i="113" s="1"/>
  <c r="Q110" i="113" s="1"/>
  <c r="Q111" i="113" s="1"/>
  <c r="Q112" i="113" s="1"/>
  <c r="Q113" i="113" s="1"/>
  <c r="Q114" i="113" s="1"/>
  <c r="Q115" i="113" s="1"/>
  <c r="Q116" i="113" s="1"/>
  <c r="Q117" i="113" s="1"/>
  <c r="Q118" i="113" s="1"/>
  <c r="Q119" i="113" s="1"/>
  <c r="Q120" i="113" s="1"/>
  <c r="Q121" i="113" s="1"/>
  <c r="Q122" i="113" s="1"/>
  <c r="Q123" i="113" s="1"/>
  <c r="Q124" i="113" s="1"/>
  <c r="Q125" i="113" s="1"/>
  <c r="Q126" i="113" s="1"/>
  <c r="Q127" i="113" s="1"/>
  <c r="Q128" i="113" s="1"/>
  <c r="Q129" i="113" s="1"/>
  <c r="Q130" i="113" s="1"/>
  <c r="Q131" i="113" s="1"/>
  <c r="H103" i="113"/>
  <c r="D103" i="113"/>
  <c r="D104" i="113" s="1"/>
  <c r="D105" i="113" s="1"/>
  <c r="D106" i="113" s="1"/>
  <c r="D86" i="113"/>
  <c r="D87" i="113" s="1"/>
  <c r="D88" i="113" s="1"/>
  <c r="D89" i="113" s="1"/>
  <c r="C86" i="113"/>
  <c r="C87" i="113" s="1"/>
  <c r="C88" i="113" s="1"/>
  <c r="C89" i="113" s="1"/>
  <c r="B86" i="113"/>
  <c r="B87" i="113" s="1"/>
  <c r="B88" i="113" s="1"/>
  <c r="B89" i="113" s="1"/>
  <c r="D23" i="113"/>
  <c r="D24" i="113" s="1"/>
  <c r="D20" i="113"/>
  <c r="D17" i="113"/>
  <c r="D137" i="113" s="1"/>
  <c r="C7" i="113"/>
  <c r="C8" i="113" s="1"/>
  <c r="C9" i="113" s="1"/>
  <c r="C10" i="113" s="1"/>
  <c r="C11" i="113" s="1"/>
  <c r="D107" i="113" l="1"/>
  <c r="D108" i="113" s="1"/>
  <c r="D109" i="113" s="1"/>
  <c r="D110" i="113" s="1"/>
  <c r="D111" i="113" s="1"/>
  <c r="D112" i="113" s="1"/>
  <c r="D113" i="113" s="1"/>
  <c r="D114" i="113" s="1"/>
  <c r="D115" i="113" s="1"/>
  <c r="D116" i="113" s="1"/>
  <c r="D117" i="113" s="1"/>
  <c r="D118" i="113" s="1"/>
  <c r="D119" i="113" s="1"/>
  <c r="H110" i="113"/>
  <c r="H116" i="113"/>
  <c r="H122" i="113"/>
  <c r="D18" i="113"/>
  <c r="D138" i="113" s="1"/>
  <c r="H104" i="113"/>
  <c r="C78" i="113"/>
  <c r="B68" i="113"/>
  <c r="B48" i="113"/>
  <c r="B36" i="113"/>
  <c r="C32" i="113"/>
  <c r="C38" i="113"/>
  <c r="C16" i="113"/>
  <c r="C58" i="113"/>
  <c r="B29" i="113"/>
  <c r="C74" i="113"/>
  <c r="B70" i="113"/>
  <c r="C66" i="113"/>
  <c r="C54" i="113"/>
  <c r="B50" i="113"/>
  <c r="C46" i="113"/>
  <c r="B49" i="113"/>
  <c r="B66" i="113"/>
  <c r="C60" i="113"/>
  <c r="B46" i="113"/>
  <c r="C40" i="113"/>
  <c r="C34" i="113"/>
  <c r="C30" i="113"/>
  <c r="B72" i="113"/>
  <c r="B62" i="113"/>
  <c r="B42" i="113"/>
  <c r="B32" i="113"/>
  <c r="B38" i="113"/>
  <c r="C72" i="113"/>
  <c r="C68" i="113"/>
  <c r="C62" i="113"/>
  <c r="B60" i="113"/>
  <c r="B56" i="113"/>
  <c r="C52" i="113"/>
  <c r="C48" i="113"/>
  <c r="C42" i="113"/>
  <c r="B40" i="113"/>
  <c r="B30" i="113"/>
  <c r="B52" i="113"/>
  <c r="B69" i="113"/>
  <c r="E36" i="113"/>
  <c r="E76" i="113"/>
  <c r="E42" i="113"/>
  <c r="E56" i="113"/>
  <c r="E62" i="113"/>
  <c r="E22" i="113"/>
  <c r="E23" i="113" s="1"/>
  <c r="E24" i="113" s="1"/>
  <c r="E34" i="113"/>
  <c r="E40" i="113"/>
  <c r="E60" i="113"/>
  <c r="E54" i="113"/>
  <c r="E74" i="113"/>
  <c r="E44" i="113"/>
  <c r="H111" i="113"/>
  <c r="E136" i="113"/>
  <c r="E73" i="113"/>
  <c r="E63" i="113"/>
  <c r="E53" i="113"/>
  <c r="E43" i="113"/>
  <c r="E33" i="113"/>
  <c r="E77" i="113"/>
  <c r="E67" i="113"/>
  <c r="E57" i="113"/>
  <c r="E47" i="113"/>
  <c r="E37" i="113"/>
  <c r="E19" i="113"/>
  <c r="E71" i="113"/>
  <c r="E61" i="113"/>
  <c r="E51" i="113"/>
  <c r="E41" i="113"/>
  <c r="E31" i="113"/>
  <c r="E75" i="113"/>
  <c r="E65" i="113"/>
  <c r="E55" i="113"/>
  <c r="E45" i="113"/>
  <c r="E35" i="113"/>
  <c r="E69" i="113"/>
  <c r="E59" i="113"/>
  <c r="E49" i="113"/>
  <c r="E39" i="113"/>
  <c r="E29" i="113"/>
  <c r="E17" i="113"/>
  <c r="E48" i="113"/>
  <c r="E68" i="113"/>
  <c r="C44" i="113"/>
  <c r="E46" i="113"/>
  <c r="C64" i="113"/>
  <c r="E66" i="113"/>
  <c r="C140" i="113"/>
  <c r="E32" i="113"/>
  <c r="B39" i="113"/>
  <c r="C50" i="113"/>
  <c r="E52" i="113"/>
  <c r="B58" i="113"/>
  <c r="B59" i="113"/>
  <c r="C70" i="113"/>
  <c r="E72" i="113"/>
  <c r="B78" i="113"/>
  <c r="D21" i="113"/>
  <c r="D140" i="113"/>
  <c r="E50" i="113"/>
  <c r="E70" i="113"/>
  <c r="B76" i="113"/>
  <c r="E30" i="113"/>
  <c r="B74" i="113"/>
  <c r="B64" i="113"/>
  <c r="B54" i="113"/>
  <c r="B44" i="113"/>
  <c r="B34" i="113"/>
  <c r="B65" i="113"/>
  <c r="C73" i="113"/>
  <c r="C63" i="113"/>
  <c r="C53" i="113"/>
  <c r="C43" i="113"/>
  <c r="C33" i="113"/>
  <c r="C59" i="113"/>
  <c r="C29" i="113"/>
  <c r="C136" i="113"/>
  <c r="C77" i="113"/>
  <c r="B73" i="113"/>
  <c r="C67" i="113"/>
  <c r="B63" i="113"/>
  <c r="C57" i="113"/>
  <c r="B53" i="113"/>
  <c r="C47" i="113"/>
  <c r="B43" i="113"/>
  <c r="C37" i="113"/>
  <c r="B33" i="113"/>
  <c r="C69" i="113"/>
  <c r="C39" i="113"/>
  <c r="B35" i="113"/>
  <c r="C137" i="113"/>
  <c r="B77" i="113"/>
  <c r="C71" i="113"/>
  <c r="B67" i="113"/>
  <c r="C61" i="113"/>
  <c r="B57" i="113"/>
  <c r="C51" i="113"/>
  <c r="B47" i="113"/>
  <c r="C41" i="113"/>
  <c r="B37" i="113"/>
  <c r="C31" i="113"/>
  <c r="C139" i="113"/>
  <c r="B75" i="113"/>
  <c r="B55" i="113"/>
  <c r="C49" i="113"/>
  <c r="B45" i="113"/>
  <c r="C138" i="113"/>
  <c r="C75" i="113"/>
  <c r="B71" i="113"/>
  <c r="C65" i="113"/>
  <c r="B61" i="113"/>
  <c r="C55" i="113"/>
  <c r="B51" i="113"/>
  <c r="C45" i="113"/>
  <c r="B41" i="113"/>
  <c r="C35" i="113"/>
  <c r="B31" i="113"/>
  <c r="C36" i="113"/>
  <c r="E38" i="113"/>
  <c r="C56" i="113"/>
  <c r="E58" i="113"/>
  <c r="C76" i="113"/>
  <c r="E78" i="113"/>
  <c r="H123" i="113" l="1"/>
  <c r="H124" i="113" s="1"/>
  <c r="H117" i="113"/>
  <c r="H105" i="113"/>
  <c r="H106" i="113" s="1"/>
  <c r="E139" i="113"/>
  <c r="E20" i="113"/>
  <c r="E137" i="113"/>
  <c r="E18" i="113"/>
  <c r="E138" i="113" s="1"/>
  <c r="H112" i="113"/>
  <c r="H113" i="113" s="1"/>
  <c r="C102" i="113"/>
  <c r="H107" i="113" l="1"/>
  <c r="H125" i="113"/>
  <c r="E140" i="113"/>
  <c r="E21" i="113"/>
  <c r="B124" i="86" l="1"/>
  <c r="P118" i="91"/>
  <c r="P118" i="105"/>
  <c r="P118" i="98"/>
  <c r="P118" i="103"/>
  <c r="P118" i="106"/>
  <c r="O118" i="91"/>
  <c r="O118" i="105"/>
  <c r="O118" i="98"/>
  <c r="O118" i="103"/>
  <c r="O118" i="106"/>
  <c r="L120" i="91"/>
  <c r="K120" i="91"/>
  <c r="J120" i="91"/>
  <c r="I120" i="91"/>
  <c r="H120" i="91"/>
  <c r="G120" i="91"/>
  <c r="F120" i="91"/>
  <c r="E120" i="91"/>
  <c r="B117" i="91"/>
  <c r="O107" i="113" s="1"/>
  <c r="O113" i="113" s="1"/>
  <c r="O119" i="113" s="1"/>
  <c r="O125" i="113" s="1"/>
  <c r="O131" i="113" s="1"/>
  <c r="L120" i="105"/>
  <c r="K120" i="105"/>
  <c r="J120" i="105"/>
  <c r="I120" i="105"/>
  <c r="H120" i="105"/>
  <c r="G120" i="105"/>
  <c r="F120" i="105"/>
  <c r="E120" i="105"/>
  <c r="L120" i="98"/>
  <c r="K120" i="98"/>
  <c r="J120" i="98"/>
  <c r="I120" i="98"/>
  <c r="H120" i="98"/>
  <c r="G120" i="98"/>
  <c r="F120" i="98"/>
  <c r="E120" i="98"/>
  <c r="B120" i="98"/>
  <c r="B119" i="98"/>
  <c r="B118" i="98"/>
  <c r="P117" i="98"/>
  <c r="O117" i="98"/>
  <c r="L120" i="103"/>
  <c r="K120" i="103"/>
  <c r="J120" i="103"/>
  <c r="I120" i="103"/>
  <c r="H120" i="103"/>
  <c r="G120" i="103"/>
  <c r="F120" i="103"/>
  <c r="E120" i="103"/>
  <c r="B120" i="103"/>
  <c r="B119" i="103"/>
  <c r="B118" i="103"/>
  <c r="P117" i="103"/>
  <c r="B117" i="103" s="1"/>
  <c r="O117" i="103"/>
  <c r="L120" i="106"/>
  <c r="K120" i="106"/>
  <c r="J120" i="106"/>
  <c r="I120" i="106"/>
  <c r="H120" i="106"/>
  <c r="G120" i="106"/>
  <c r="F120" i="106"/>
  <c r="E120" i="106"/>
  <c r="B117" i="105" l="1"/>
  <c r="B117" i="98"/>
  <c r="B117" i="106"/>
  <c r="F68" i="90"/>
  <c r="G68" i="90"/>
  <c r="H68" i="90"/>
  <c r="I68" i="90"/>
  <c r="E68" i="90"/>
  <c r="F56" i="90"/>
  <c r="G56" i="90"/>
  <c r="H56" i="90"/>
  <c r="I56" i="90"/>
  <c r="E56" i="90"/>
  <c r="F66" i="90"/>
  <c r="L9" i="117" s="1"/>
  <c r="G66" i="90"/>
  <c r="M9" i="117" s="1"/>
  <c r="H66" i="90"/>
  <c r="N9" i="117" s="1"/>
  <c r="I66" i="90"/>
  <c r="O9" i="117" s="1"/>
  <c r="F67" i="90"/>
  <c r="L10" i="117" s="1"/>
  <c r="G67" i="90"/>
  <c r="M10" i="117" s="1"/>
  <c r="H67" i="90"/>
  <c r="N10" i="117" s="1"/>
  <c r="I67" i="90"/>
  <c r="O10" i="117" s="1"/>
  <c r="E67" i="90"/>
  <c r="K10" i="117" s="1"/>
  <c r="E66" i="90"/>
  <c r="K9" i="117" s="1"/>
  <c r="F54" i="90"/>
  <c r="L9" i="115" s="1"/>
  <c r="G54" i="90"/>
  <c r="M9" i="115" s="1"/>
  <c r="H54" i="90"/>
  <c r="N9" i="115" s="1"/>
  <c r="I54" i="90"/>
  <c r="O9" i="115" s="1"/>
  <c r="F55" i="90"/>
  <c r="L10" i="115" s="1"/>
  <c r="G55" i="90"/>
  <c r="M10" i="115" s="1"/>
  <c r="H55" i="90"/>
  <c r="N10" i="115" s="1"/>
  <c r="I55" i="90"/>
  <c r="O10" i="115" s="1"/>
  <c r="E55" i="90"/>
  <c r="K10" i="115" s="1"/>
  <c r="E54" i="90"/>
  <c r="K9" i="115" s="1"/>
  <c r="F42" i="90"/>
  <c r="G42" i="90"/>
  <c r="H42" i="90"/>
  <c r="I42" i="90"/>
  <c r="F43" i="90"/>
  <c r="G43" i="90"/>
  <c r="H43" i="90"/>
  <c r="I43" i="90"/>
  <c r="E43" i="90"/>
  <c r="E42" i="90"/>
  <c r="F49" i="90"/>
  <c r="L7" i="115" s="1"/>
  <c r="G49" i="90"/>
  <c r="M7" i="115" s="1"/>
  <c r="H49" i="90"/>
  <c r="N7" i="115" s="1"/>
  <c r="I49" i="90"/>
  <c r="O7" i="115" s="1"/>
  <c r="F50" i="90"/>
  <c r="L8" i="115" s="1"/>
  <c r="G50" i="90"/>
  <c r="M8" i="115" s="1"/>
  <c r="H50" i="90"/>
  <c r="N8" i="115" s="1"/>
  <c r="I50" i="90"/>
  <c r="O8" i="115" s="1"/>
  <c r="E50" i="90"/>
  <c r="K8" i="115" s="1"/>
  <c r="E49" i="90"/>
  <c r="K7" i="115" s="1"/>
  <c r="F61" i="90"/>
  <c r="L7" i="117" s="1"/>
  <c r="G61" i="90"/>
  <c r="M7" i="117" s="1"/>
  <c r="H61" i="90"/>
  <c r="N7" i="117" s="1"/>
  <c r="I61" i="90"/>
  <c r="O7" i="117" s="1"/>
  <c r="F62" i="90"/>
  <c r="L8" i="117" s="1"/>
  <c r="G62" i="90"/>
  <c r="M8" i="117" s="1"/>
  <c r="H62" i="90"/>
  <c r="N8" i="117" s="1"/>
  <c r="I62" i="90"/>
  <c r="O8" i="117" s="1"/>
  <c r="E62" i="90"/>
  <c r="K8" i="117" s="1"/>
  <c r="E61" i="90"/>
  <c r="K7" i="117" s="1"/>
  <c r="F60" i="90"/>
  <c r="L6" i="117" s="1"/>
  <c r="G60" i="90"/>
  <c r="M6" i="117" s="1"/>
  <c r="H60" i="90"/>
  <c r="N6" i="117" s="1"/>
  <c r="I60" i="90"/>
  <c r="O6" i="117" s="1"/>
  <c r="E60" i="90"/>
  <c r="K6" i="117" s="1"/>
  <c r="F48" i="90"/>
  <c r="L6" i="115" s="1"/>
  <c r="G48" i="90"/>
  <c r="M6" i="115" s="1"/>
  <c r="H48" i="90"/>
  <c r="N6" i="115" s="1"/>
  <c r="I48" i="90"/>
  <c r="O6" i="115" s="1"/>
  <c r="E48" i="90"/>
  <c r="K6" i="115" s="1"/>
  <c r="F36" i="90"/>
  <c r="G36" i="90"/>
  <c r="H36" i="90"/>
  <c r="I36" i="90"/>
  <c r="E36" i="90"/>
  <c r="O100" i="92"/>
  <c r="B100" i="92" s="1"/>
  <c r="P100" i="92"/>
  <c r="O62" i="92"/>
  <c r="P62" i="92"/>
  <c r="B26" i="92"/>
  <c r="O24" i="92"/>
  <c r="B24" i="92" s="1"/>
  <c r="P24" i="92"/>
  <c r="B123" i="92"/>
  <c r="E119" i="92"/>
  <c r="B119" i="92"/>
  <c r="E118" i="92"/>
  <c r="B114" i="92"/>
  <c r="K110" i="92"/>
  <c r="J110" i="92"/>
  <c r="I110" i="92"/>
  <c r="H110" i="92"/>
  <c r="G110" i="92"/>
  <c r="D110" i="92"/>
  <c r="D108" i="92"/>
  <c r="B108" i="92"/>
  <c r="B118" i="92" s="1"/>
  <c r="K107" i="92"/>
  <c r="J107" i="92"/>
  <c r="I107" i="92"/>
  <c r="H107" i="92"/>
  <c r="G107" i="92"/>
  <c r="D107" i="92"/>
  <c r="D105" i="92"/>
  <c r="B105" i="92"/>
  <c r="I104" i="92"/>
  <c r="G104" i="92"/>
  <c r="D104" i="92"/>
  <c r="K103" i="92"/>
  <c r="J103" i="92"/>
  <c r="I103" i="92"/>
  <c r="H103" i="92"/>
  <c r="K102" i="92"/>
  <c r="K104" i="92" s="1"/>
  <c r="J102" i="92"/>
  <c r="I102" i="92"/>
  <c r="H102" i="92"/>
  <c r="D102" i="92"/>
  <c r="B102" i="92"/>
  <c r="B98" i="92"/>
  <c r="B85" i="92"/>
  <c r="E81" i="92"/>
  <c r="B81" i="92"/>
  <c r="E80" i="92"/>
  <c r="B76" i="92"/>
  <c r="K72" i="92"/>
  <c r="J72" i="92"/>
  <c r="I72" i="92"/>
  <c r="H72" i="92"/>
  <c r="G72" i="92"/>
  <c r="D72" i="92"/>
  <c r="D70" i="92"/>
  <c r="B70" i="92"/>
  <c r="B80" i="92" s="1"/>
  <c r="K69" i="92"/>
  <c r="J69" i="92"/>
  <c r="I69" i="92"/>
  <c r="H69" i="92"/>
  <c r="G69" i="92"/>
  <c r="D69" i="92"/>
  <c r="D67" i="92"/>
  <c r="B67" i="92"/>
  <c r="I66" i="92"/>
  <c r="H66" i="92"/>
  <c r="G66" i="92"/>
  <c r="D66" i="92"/>
  <c r="K65" i="92"/>
  <c r="J65" i="92"/>
  <c r="I65" i="92"/>
  <c r="H65" i="92"/>
  <c r="K64" i="92"/>
  <c r="K66" i="92" s="1"/>
  <c r="J64" i="92"/>
  <c r="J66" i="92" s="1"/>
  <c r="I64" i="92"/>
  <c r="H64" i="92"/>
  <c r="D64" i="92"/>
  <c r="B64" i="92"/>
  <c r="B60" i="92"/>
  <c r="I276" i="105"/>
  <c r="I276" i="106"/>
  <c r="I276" i="98"/>
  <c r="I276" i="103"/>
  <c r="I276" i="91"/>
  <c r="G276" i="105"/>
  <c r="G276" i="106"/>
  <c r="G276" i="98"/>
  <c r="G276" i="103"/>
  <c r="G276" i="91"/>
  <c r="E276" i="105"/>
  <c r="E276" i="106"/>
  <c r="E276" i="98"/>
  <c r="E276" i="103"/>
  <c r="E276" i="91"/>
  <c r="B278" i="105"/>
  <c r="B278" i="106"/>
  <c r="B278" i="98"/>
  <c r="B278" i="103"/>
  <c r="B278" i="91"/>
  <c r="L241" i="105"/>
  <c r="K241" i="105"/>
  <c r="J241" i="105"/>
  <c r="I241" i="105"/>
  <c r="H241" i="105"/>
  <c r="G241" i="105"/>
  <c r="F241" i="105"/>
  <c r="E241" i="105"/>
  <c r="L236" i="105"/>
  <c r="K236" i="105"/>
  <c r="J236" i="105"/>
  <c r="I236" i="105"/>
  <c r="H236" i="105"/>
  <c r="G236" i="105"/>
  <c r="F236" i="105"/>
  <c r="E236" i="105"/>
  <c r="L231" i="105"/>
  <c r="K231" i="105"/>
  <c r="J231" i="105"/>
  <c r="I231" i="105"/>
  <c r="H231" i="105"/>
  <c r="G231" i="105"/>
  <c r="F231" i="105"/>
  <c r="E231" i="105"/>
  <c r="L226" i="105"/>
  <c r="K226" i="105"/>
  <c r="J226" i="105"/>
  <c r="I226" i="105"/>
  <c r="H226" i="105"/>
  <c r="G226" i="105"/>
  <c r="F226" i="105"/>
  <c r="E226" i="105"/>
  <c r="L221" i="105"/>
  <c r="K221" i="105"/>
  <c r="J221" i="105"/>
  <c r="I221" i="105"/>
  <c r="H221" i="105"/>
  <c r="G221" i="105"/>
  <c r="F221" i="105"/>
  <c r="E221" i="105"/>
  <c r="L216" i="105"/>
  <c r="K216" i="105"/>
  <c r="J216" i="105"/>
  <c r="I216" i="105"/>
  <c r="H216" i="105"/>
  <c r="G216" i="105"/>
  <c r="F216" i="105"/>
  <c r="E216" i="105"/>
  <c r="L211" i="105"/>
  <c r="K211" i="105"/>
  <c r="J211" i="105"/>
  <c r="I211" i="105"/>
  <c r="H211" i="105"/>
  <c r="G211" i="105"/>
  <c r="F211" i="105"/>
  <c r="E211" i="105"/>
  <c r="L206" i="105"/>
  <c r="K206" i="105"/>
  <c r="J206" i="105"/>
  <c r="I206" i="105"/>
  <c r="H206" i="105"/>
  <c r="G206" i="105"/>
  <c r="F206" i="105"/>
  <c r="E206" i="105"/>
  <c r="L241" i="106"/>
  <c r="K241" i="106"/>
  <c r="J241" i="106"/>
  <c r="I241" i="106"/>
  <c r="H241" i="106"/>
  <c r="G241" i="106"/>
  <c r="F241" i="106"/>
  <c r="E241" i="106"/>
  <c r="L236" i="106"/>
  <c r="K236" i="106"/>
  <c r="J236" i="106"/>
  <c r="I236" i="106"/>
  <c r="H236" i="106"/>
  <c r="G236" i="106"/>
  <c r="F236" i="106"/>
  <c r="E236" i="106"/>
  <c r="L231" i="106"/>
  <c r="K231" i="106"/>
  <c r="J231" i="106"/>
  <c r="I231" i="106"/>
  <c r="H231" i="106"/>
  <c r="G231" i="106"/>
  <c r="F231" i="106"/>
  <c r="E231" i="106"/>
  <c r="L226" i="106"/>
  <c r="K226" i="106"/>
  <c r="J226" i="106"/>
  <c r="I226" i="106"/>
  <c r="H226" i="106"/>
  <c r="G226" i="106"/>
  <c r="F226" i="106"/>
  <c r="E226" i="106"/>
  <c r="L221" i="106"/>
  <c r="K221" i="106"/>
  <c r="J221" i="106"/>
  <c r="I221" i="106"/>
  <c r="H221" i="106"/>
  <c r="G221" i="106"/>
  <c r="F221" i="106"/>
  <c r="E221" i="106"/>
  <c r="L216" i="106"/>
  <c r="K216" i="106"/>
  <c r="J216" i="106"/>
  <c r="I216" i="106"/>
  <c r="H216" i="106"/>
  <c r="G216" i="106"/>
  <c r="F216" i="106"/>
  <c r="E216" i="106"/>
  <c r="L211" i="106"/>
  <c r="K211" i="106"/>
  <c r="J211" i="106"/>
  <c r="I211" i="106"/>
  <c r="H211" i="106"/>
  <c r="G211" i="106"/>
  <c r="F211" i="106"/>
  <c r="E211" i="106"/>
  <c r="L206" i="106"/>
  <c r="K206" i="106"/>
  <c r="J206" i="106"/>
  <c r="I206" i="106"/>
  <c r="H206" i="106"/>
  <c r="G206" i="106"/>
  <c r="F206" i="106"/>
  <c r="E206" i="106"/>
  <c r="L241" i="98"/>
  <c r="K241" i="98"/>
  <c r="J241" i="98"/>
  <c r="I241" i="98"/>
  <c r="H241" i="98"/>
  <c r="G241" i="98"/>
  <c r="F241" i="98"/>
  <c r="E241" i="98"/>
  <c r="L236" i="98"/>
  <c r="K236" i="98"/>
  <c r="J236" i="98"/>
  <c r="I236" i="98"/>
  <c r="H236" i="98"/>
  <c r="G236" i="98"/>
  <c r="F236" i="98"/>
  <c r="E236" i="98"/>
  <c r="L231" i="98"/>
  <c r="K231" i="98"/>
  <c r="J231" i="98"/>
  <c r="I231" i="98"/>
  <c r="H231" i="98"/>
  <c r="G231" i="98"/>
  <c r="F231" i="98"/>
  <c r="E231" i="98"/>
  <c r="L226" i="98"/>
  <c r="K226" i="98"/>
  <c r="J226" i="98"/>
  <c r="I226" i="98"/>
  <c r="H226" i="98"/>
  <c r="G226" i="98"/>
  <c r="F226" i="98"/>
  <c r="E226" i="98"/>
  <c r="L221" i="98"/>
  <c r="K221" i="98"/>
  <c r="J221" i="98"/>
  <c r="I221" i="98"/>
  <c r="H221" i="98"/>
  <c r="G221" i="98"/>
  <c r="F221" i="98"/>
  <c r="E221" i="98"/>
  <c r="L216" i="98"/>
  <c r="K216" i="98"/>
  <c r="J216" i="98"/>
  <c r="I216" i="98"/>
  <c r="H216" i="98"/>
  <c r="G216" i="98"/>
  <c r="F216" i="98"/>
  <c r="E216" i="98"/>
  <c r="L211" i="98"/>
  <c r="K211" i="98"/>
  <c r="J211" i="98"/>
  <c r="I211" i="98"/>
  <c r="H211" i="98"/>
  <c r="G211" i="98"/>
  <c r="F211" i="98"/>
  <c r="E211" i="98"/>
  <c r="L206" i="98"/>
  <c r="K206" i="98"/>
  <c r="J206" i="98"/>
  <c r="I206" i="98"/>
  <c r="H206" i="98"/>
  <c r="G206" i="98"/>
  <c r="F206" i="98"/>
  <c r="E206" i="98"/>
  <c r="L241" i="103"/>
  <c r="K241" i="103"/>
  <c r="J241" i="103"/>
  <c r="I241" i="103"/>
  <c r="H241" i="103"/>
  <c r="G241" i="103"/>
  <c r="F241" i="103"/>
  <c r="E241" i="103"/>
  <c r="L236" i="103"/>
  <c r="K236" i="103"/>
  <c r="J236" i="103"/>
  <c r="I236" i="103"/>
  <c r="H236" i="103"/>
  <c r="G236" i="103"/>
  <c r="F236" i="103"/>
  <c r="E236" i="103"/>
  <c r="L231" i="103"/>
  <c r="K231" i="103"/>
  <c r="J231" i="103"/>
  <c r="I231" i="103"/>
  <c r="H231" i="103"/>
  <c r="G231" i="103"/>
  <c r="F231" i="103"/>
  <c r="E231" i="103"/>
  <c r="L226" i="103"/>
  <c r="K226" i="103"/>
  <c r="J226" i="103"/>
  <c r="I226" i="103"/>
  <c r="H226" i="103"/>
  <c r="G226" i="103"/>
  <c r="F226" i="103"/>
  <c r="E226" i="103"/>
  <c r="L221" i="103"/>
  <c r="K221" i="103"/>
  <c r="J221" i="103"/>
  <c r="I221" i="103"/>
  <c r="H221" i="103"/>
  <c r="G221" i="103"/>
  <c r="F221" i="103"/>
  <c r="E221" i="103"/>
  <c r="L216" i="103"/>
  <c r="K216" i="103"/>
  <c r="J216" i="103"/>
  <c r="I216" i="103"/>
  <c r="H216" i="103"/>
  <c r="G216" i="103"/>
  <c r="F216" i="103"/>
  <c r="E216" i="103"/>
  <c r="L211" i="103"/>
  <c r="K211" i="103"/>
  <c r="J211" i="103"/>
  <c r="I211" i="103"/>
  <c r="H211" i="103"/>
  <c r="G211" i="103"/>
  <c r="F211" i="103"/>
  <c r="E211" i="103"/>
  <c r="L206" i="103"/>
  <c r="K206" i="103"/>
  <c r="J206" i="103"/>
  <c r="I206" i="103"/>
  <c r="H206" i="103"/>
  <c r="G206" i="103"/>
  <c r="F206" i="103"/>
  <c r="E206" i="103"/>
  <c r="L241" i="91"/>
  <c r="K241" i="91"/>
  <c r="J241" i="91"/>
  <c r="I241" i="91"/>
  <c r="H241" i="91"/>
  <c r="G241" i="91"/>
  <c r="F241" i="91"/>
  <c r="E241" i="91"/>
  <c r="L236" i="91"/>
  <c r="K236" i="91"/>
  <c r="J236" i="91"/>
  <c r="I236" i="91"/>
  <c r="H236" i="91"/>
  <c r="G236" i="91"/>
  <c r="F236" i="91"/>
  <c r="E236" i="91"/>
  <c r="L231" i="91"/>
  <c r="K231" i="91"/>
  <c r="J231" i="91"/>
  <c r="I231" i="91"/>
  <c r="H231" i="91"/>
  <c r="G231" i="91"/>
  <c r="F231" i="91"/>
  <c r="E231" i="91"/>
  <c r="L226" i="91"/>
  <c r="K226" i="91"/>
  <c r="J226" i="91"/>
  <c r="I226" i="91"/>
  <c r="H226" i="91"/>
  <c r="G226" i="91"/>
  <c r="F226" i="91"/>
  <c r="E226" i="91"/>
  <c r="L221" i="91"/>
  <c r="K221" i="91"/>
  <c r="J221" i="91"/>
  <c r="I221" i="91"/>
  <c r="H221" i="91"/>
  <c r="G221" i="91"/>
  <c r="F221" i="91"/>
  <c r="E221" i="91"/>
  <c r="L216" i="91"/>
  <c r="K216" i="91"/>
  <c r="J216" i="91"/>
  <c r="I216" i="91"/>
  <c r="H216" i="91"/>
  <c r="G216" i="91"/>
  <c r="F216" i="91"/>
  <c r="E216" i="91"/>
  <c r="L211" i="91"/>
  <c r="K211" i="91"/>
  <c r="J211" i="91"/>
  <c r="I211" i="91"/>
  <c r="H211" i="91"/>
  <c r="G211" i="91"/>
  <c r="F211" i="91"/>
  <c r="E211" i="91"/>
  <c r="L206" i="91"/>
  <c r="K206" i="91"/>
  <c r="J206" i="91"/>
  <c r="I206" i="91"/>
  <c r="H206" i="91"/>
  <c r="G206" i="91"/>
  <c r="F206" i="91"/>
  <c r="E206" i="91"/>
  <c r="L165" i="105"/>
  <c r="K165" i="105"/>
  <c r="J165" i="105"/>
  <c r="I165" i="105"/>
  <c r="H165" i="105"/>
  <c r="G165" i="105"/>
  <c r="F165" i="105"/>
  <c r="E165" i="105"/>
  <c r="L160" i="105"/>
  <c r="K160" i="105"/>
  <c r="J160" i="105"/>
  <c r="I160" i="105"/>
  <c r="H160" i="105"/>
  <c r="G160" i="105"/>
  <c r="F160" i="105"/>
  <c r="E160" i="105"/>
  <c r="L155" i="105"/>
  <c r="K155" i="105"/>
  <c r="J155" i="105"/>
  <c r="I155" i="105"/>
  <c r="H155" i="105"/>
  <c r="G155" i="105"/>
  <c r="F155" i="105"/>
  <c r="E155" i="105"/>
  <c r="L150" i="105"/>
  <c r="K150" i="105"/>
  <c r="J150" i="105"/>
  <c r="I150" i="105"/>
  <c r="H150" i="105"/>
  <c r="G150" i="105"/>
  <c r="F150" i="105"/>
  <c r="E150" i="105"/>
  <c r="L165" i="106"/>
  <c r="K165" i="106"/>
  <c r="J165" i="106"/>
  <c r="I165" i="106"/>
  <c r="H165" i="106"/>
  <c r="G165" i="106"/>
  <c r="F165" i="106"/>
  <c r="E165" i="106"/>
  <c r="L160" i="106"/>
  <c r="K160" i="106"/>
  <c r="J160" i="106"/>
  <c r="I160" i="106"/>
  <c r="H160" i="106"/>
  <c r="G160" i="106"/>
  <c r="F160" i="106"/>
  <c r="E160" i="106"/>
  <c r="L155" i="106"/>
  <c r="K155" i="106"/>
  <c r="J155" i="106"/>
  <c r="I155" i="106"/>
  <c r="H155" i="106"/>
  <c r="G155" i="106"/>
  <c r="F155" i="106"/>
  <c r="E155" i="106"/>
  <c r="L150" i="106"/>
  <c r="K150" i="106"/>
  <c r="J150" i="106"/>
  <c r="I150" i="106"/>
  <c r="H150" i="106"/>
  <c r="G150" i="106"/>
  <c r="F150" i="106"/>
  <c r="E150" i="106"/>
  <c r="L165" i="98"/>
  <c r="K165" i="98"/>
  <c r="J165" i="98"/>
  <c r="I165" i="98"/>
  <c r="H165" i="98"/>
  <c r="G165" i="98"/>
  <c r="F165" i="98"/>
  <c r="E165" i="98"/>
  <c r="L160" i="98"/>
  <c r="K160" i="98"/>
  <c r="J160" i="98"/>
  <c r="I160" i="98"/>
  <c r="H160" i="98"/>
  <c r="G160" i="98"/>
  <c r="F160" i="98"/>
  <c r="E160" i="98"/>
  <c r="L155" i="98"/>
  <c r="K155" i="98"/>
  <c r="J155" i="98"/>
  <c r="I155" i="98"/>
  <c r="H155" i="98"/>
  <c r="G155" i="98"/>
  <c r="F155" i="98"/>
  <c r="E155" i="98"/>
  <c r="L150" i="98"/>
  <c r="K150" i="98"/>
  <c r="J150" i="98"/>
  <c r="I150" i="98"/>
  <c r="H150" i="98"/>
  <c r="G150" i="98"/>
  <c r="F150" i="98"/>
  <c r="E150" i="98"/>
  <c r="L165" i="103"/>
  <c r="K165" i="103"/>
  <c r="J165" i="103"/>
  <c r="I165" i="103"/>
  <c r="H165" i="103"/>
  <c r="G165" i="103"/>
  <c r="F165" i="103"/>
  <c r="E165" i="103"/>
  <c r="L160" i="103"/>
  <c r="K160" i="103"/>
  <c r="J160" i="103"/>
  <c r="I160" i="103"/>
  <c r="H160" i="103"/>
  <c r="G160" i="103"/>
  <c r="F160" i="103"/>
  <c r="E160" i="103"/>
  <c r="L155" i="103"/>
  <c r="K155" i="103"/>
  <c r="J155" i="103"/>
  <c r="I155" i="103"/>
  <c r="H155" i="103"/>
  <c r="G155" i="103"/>
  <c r="F155" i="103"/>
  <c r="E155" i="103"/>
  <c r="L150" i="103"/>
  <c r="K150" i="103"/>
  <c r="J150" i="103"/>
  <c r="I150" i="103"/>
  <c r="H150" i="103"/>
  <c r="G150" i="103"/>
  <c r="F150" i="103"/>
  <c r="E150" i="103"/>
  <c r="L165" i="91"/>
  <c r="K165" i="91"/>
  <c r="J165" i="91"/>
  <c r="I165" i="91"/>
  <c r="H165" i="91"/>
  <c r="G165" i="91"/>
  <c r="F165" i="91"/>
  <c r="E165" i="91"/>
  <c r="L160" i="91"/>
  <c r="K160" i="91"/>
  <c r="J160" i="91"/>
  <c r="I160" i="91"/>
  <c r="H160" i="91"/>
  <c r="G160" i="91"/>
  <c r="F160" i="91"/>
  <c r="E160" i="91"/>
  <c r="L155" i="91"/>
  <c r="K155" i="91"/>
  <c r="J155" i="91"/>
  <c r="I155" i="91"/>
  <c r="H155" i="91"/>
  <c r="G155" i="91"/>
  <c r="F155" i="91"/>
  <c r="E155" i="91"/>
  <c r="L150" i="91"/>
  <c r="K150" i="91"/>
  <c r="J150" i="91"/>
  <c r="I150" i="91"/>
  <c r="H150" i="91"/>
  <c r="G150" i="91"/>
  <c r="F150" i="91"/>
  <c r="E150" i="91"/>
  <c r="L145" i="105"/>
  <c r="K145" i="105"/>
  <c r="J145" i="105"/>
  <c r="I145" i="105"/>
  <c r="H145" i="105"/>
  <c r="G145" i="105"/>
  <c r="F145" i="105"/>
  <c r="E145" i="105"/>
  <c r="L145" i="106"/>
  <c r="K145" i="106"/>
  <c r="J145" i="106"/>
  <c r="I145" i="106"/>
  <c r="H145" i="106"/>
  <c r="G145" i="106"/>
  <c r="F145" i="106"/>
  <c r="E145" i="106"/>
  <c r="L145" i="98"/>
  <c r="K145" i="98"/>
  <c r="J145" i="98"/>
  <c r="I145" i="98"/>
  <c r="H145" i="98"/>
  <c r="G145" i="98"/>
  <c r="F145" i="98"/>
  <c r="E145" i="98"/>
  <c r="L145" i="103"/>
  <c r="K145" i="103"/>
  <c r="J145" i="103"/>
  <c r="I145" i="103"/>
  <c r="H145" i="103"/>
  <c r="G145" i="103"/>
  <c r="F145" i="103"/>
  <c r="E145" i="103"/>
  <c r="L145" i="91"/>
  <c r="K145" i="91"/>
  <c r="J145" i="91"/>
  <c r="I145" i="91"/>
  <c r="H145" i="91"/>
  <c r="G145" i="91"/>
  <c r="F145" i="91"/>
  <c r="E145" i="91"/>
  <c r="L116" i="105"/>
  <c r="K116" i="105"/>
  <c r="J116" i="105"/>
  <c r="I116" i="105"/>
  <c r="H116" i="105"/>
  <c r="G116" i="105"/>
  <c r="F116" i="105"/>
  <c r="E116" i="105"/>
  <c r="L112" i="105"/>
  <c r="K112" i="105"/>
  <c r="J112" i="105"/>
  <c r="I112" i="105"/>
  <c r="H112" i="105"/>
  <c r="G112" i="105"/>
  <c r="F112" i="105"/>
  <c r="E112" i="105"/>
  <c r="L108" i="105"/>
  <c r="K108" i="105"/>
  <c r="J108" i="105"/>
  <c r="I108" i="105"/>
  <c r="H108" i="105"/>
  <c r="G108" i="105"/>
  <c r="F108" i="105"/>
  <c r="E108" i="105"/>
  <c r="L104" i="105"/>
  <c r="K104" i="105"/>
  <c r="J104" i="105"/>
  <c r="I104" i="105"/>
  <c r="H104" i="105"/>
  <c r="G104" i="105"/>
  <c r="F104" i="105"/>
  <c r="E104" i="105"/>
  <c r="L116" i="106"/>
  <c r="K116" i="106"/>
  <c r="J116" i="106"/>
  <c r="I116" i="106"/>
  <c r="H116" i="106"/>
  <c r="G116" i="106"/>
  <c r="F116" i="106"/>
  <c r="E116" i="106"/>
  <c r="L112" i="106"/>
  <c r="K112" i="106"/>
  <c r="J112" i="106"/>
  <c r="I112" i="106"/>
  <c r="H112" i="106"/>
  <c r="G112" i="106"/>
  <c r="F112" i="106"/>
  <c r="E112" i="106"/>
  <c r="L108" i="106"/>
  <c r="K108" i="106"/>
  <c r="J108" i="106"/>
  <c r="I108" i="106"/>
  <c r="H108" i="106"/>
  <c r="G108" i="106"/>
  <c r="F108" i="106"/>
  <c r="E108" i="106"/>
  <c r="L104" i="106"/>
  <c r="K104" i="106"/>
  <c r="J104" i="106"/>
  <c r="I104" i="106"/>
  <c r="H104" i="106"/>
  <c r="G104" i="106"/>
  <c r="F104" i="106"/>
  <c r="E104" i="106"/>
  <c r="L116" i="98"/>
  <c r="K116" i="98"/>
  <c r="J116" i="98"/>
  <c r="I116" i="98"/>
  <c r="H116" i="98"/>
  <c r="G116" i="98"/>
  <c r="F116" i="98"/>
  <c r="E116" i="98"/>
  <c r="L112" i="98"/>
  <c r="K112" i="98"/>
  <c r="J112" i="98"/>
  <c r="I112" i="98"/>
  <c r="H112" i="98"/>
  <c r="G112" i="98"/>
  <c r="F112" i="98"/>
  <c r="E112" i="98"/>
  <c r="L108" i="98"/>
  <c r="K108" i="98"/>
  <c r="J108" i="98"/>
  <c r="I108" i="98"/>
  <c r="H108" i="98"/>
  <c r="G108" i="98"/>
  <c r="F108" i="98"/>
  <c r="E108" i="98"/>
  <c r="L104" i="98"/>
  <c r="K104" i="98"/>
  <c r="J104" i="98"/>
  <c r="I104" i="98"/>
  <c r="H104" i="98"/>
  <c r="G104" i="98"/>
  <c r="F104" i="98"/>
  <c r="E104" i="98"/>
  <c r="L116" i="103"/>
  <c r="K116" i="103"/>
  <c r="J116" i="103"/>
  <c r="I116" i="103"/>
  <c r="H116" i="103"/>
  <c r="G116" i="103"/>
  <c r="F116" i="103"/>
  <c r="E116" i="103"/>
  <c r="L112" i="103"/>
  <c r="K112" i="103"/>
  <c r="J112" i="103"/>
  <c r="I112" i="103"/>
  <c r="H112" i="103"/>
  <c r="G112" i="103"/>
  <c r="F112" i="103"/>
  <c r="E112" i="103"/>
  <c r="L108" i="103"/>
  <c r="K108" i="103"/>
  <c r="J108" i="103"/>
  <c r="I108" i="103"/>
  <c r="H108" i="103"/>
  <c r="G108" i="103"/>
  <c r="F108" i="103"/>
  <c r="E108" i="103"/>
  <c r="L104" i="103"/>
  <c r="K104" i="103"/>
  <c r="J104" i="103"/>
  <c r="I104" i="103"/>
  <c r="H104" i="103"/>
  <c r="G104" i="103"/>
  <c r="F104" i="103"/>
  <c r="E104" i="103"/>
  <c r="L116" i="91"/>
  <c r="K116" i="91"/>
  <c r="J116" i="91"/>
  <c r="I116" i="91"/>
  <c r="H116" i="91"/>
  <c r="G116" i="91"/>
  <c r="F116" i="91"/>
  <c r="E116" i="91"/>
  <c r="L112" i="91"/>
  <c r="K112" i="91"/>
  <c r="J112" i="91"/>
  <c r="I112" i="91"/>
  <c r="H112" i="91"/>
  <c r="G112" i="91"/>
  <c r="F112" i="91"/>
  <c r="E112" i="91"/>
  <c r="L108" i="91"/>
  <c r="K108" i="91"/>
  <c r="J108" i="91"/>
  <c r="I108" i="91"/>
  <c r="H108" i="91"/>
  <c r="G108" i="91"/>
  <c r="F108" i="91"/>
  <c r="E108" i="91"/>
  <c r="L104" i="91"/>
  <c r="K104" i="91"/>
  <c r="J104" i="91"/>
  <c r="I104" i="91"/>
  <c r="H104" i="91"/>
  <c r="G104" i="91"/>
  <c r="F104" i="91"/>
  <c r="E104" i="91"/>
  <c r="K29" i="105"/>
  <c r="J29" i="105"/>
  <c r="I29" i="105"/>
  <c r="H29" i="105"/>
  <c r="G29" i="105"/>
  <c r="K36" i="105"/>
  <c r="J36" i="105"/>
  <c r="I36" i="105"/>
  <c r="H36" i="105"/>
  <c r="G36" i="105"/>
  <c r="K45" i="105"/>
  <c r="J45" i="105"/>
  <c r="I45" i="105"/>
  <c r="H45" i="105"/>
  <c r="G45" i="105"/>
  <c r="K52" i="105"/>
  <c r="J52" i="105"/>
  <c r="I52" i="105"/>
  <c r="H52" i="105"/>
  <c r="G52" i="105"/>
  <c r="K68" i="105"/>
  <c r="J68" i="105"/>
  <c r="I68" i="105"/>
  <c r="H68" i="105"/>
  <c r="G68" i="105"/>
  <c r="K65" i="105"/>
  <c r="J65" i="105"/>
  <c r="I65" i="105"/>
  <c r="H65" i="105"/>
  <c r="G65" i="105"/>
  <c r="K29" i="106"/>
  <c r="J29" i="106"/>
  <c r="I29" i="106"/>
  <c r="H29" i="106"/>
  <c r="G29" i="106"/>
  <c r="K36" i="106"/>
  <c r="J36" i="106"/>
  <c r="I36" i="106"/>
  <c r="H36" i="106"/>
  <c r="G36" i="106"/>
  <c r="K45" i="106"/>
  <c r="J45" i="106"/>
  <c r="I45" i="106"/>
  <c r="H45" i="106"/>
  <c r="G45" i="106"/>
  <c r="K52" i="106"/>
  <c r="J52" i="106"/>
  <c r="I52" i="106"/>
  <c r="H52" i="106"/>
  <c r="G52" i="106"/>
  <c r="K68" i="106"/>
  <c r="J68" i="106"/>
  <c r="I68" i="106"/>
  <c r="H68" i="106"/>
  <c r="G68" i="106"/>
  <c r="K65" i="106"/>
  <c r="J65" i="106"/>
  <c r="I65" i="106"/>
  <c r="H65" i="106"/>
  <c r="G65" i="106"/>
  <c r="K29" i="98"/>
  <c r="J29" i="98"/>
  <c r="I29" i="98"/>
  <c r="H29" i="98"/>
  <c r="G29" i="98"/>
  <c r="K36" i="98"/>
  <c r="J36" i="98"/>
  <c r="I36" i="98"/>
  <c r="H36" i="98"/>
  <c r="G36" i="98"/>
  <c r="K45" i="98"/>
  <c r="J45" i="98"/>
  <c r="I45" i="98"/>
  <c r="H45" i="98"/>
  <c r="G45" i="98"/>
  <c r="K52" i="98"/>
  <c r="J52" i="98"/>
  <c r="I52" i="98"/>
  <c r="H52" i="98"/>
  <c r="G52" i="98"/>
  <c r="K68" i="98"/>
  <c r="J68" i="98"/>
  <c r="I68" i="98"/>
  <c r="H68" i="98"/>
  <c r="G68" i="98"/>
  <c r="K65" i="98"/>
  <c r="J65" i="98"/>
  <c r="I65" i="98"/>
  <c r="H65" i="98"/>
  <c r="G65" i="98"/>
  <c r="K29" i="103"/>
  <c r="J29" i="103"/>
  <c r="I29" i="103"/>
  <c r="H29" i="103"/>
  <c r="G29" i="103"/>
  <c r="K36" i="103"/>
  <c r="J36" i="103"/>
  <c r="I36" i="103"/>
  <c r="H36" i="103"/>
  <c r="G36" i="103"/>
  <c r="K45" i="103"/>
  <c r="J45" i="103"/>
  <c r="I45" i="103"/>
  <c r="H45" i="103"/>
  <c r="G45" i="103"/>
  <c r="K52" i="103"/>
  <c r="J52" i="103"/>
  <c r="I52" i="103"/>
  <c r="H52" i="103"/>
  <c r="G52" i="103"/>
  <c r="K68" i="103"/>
  <c r="J68" i="103"/>
  <c r="I68" i="103"/>
  <c r="H68" i="103"/>
  <c r="G68" i="103"/>
  <c r="K65" i="103"/>
  <c r="J65" i="103"/>
  <c r="I65" i="103"/>
  <c r="H65" i="103"/>
  <c r="G65" i="103"/>
  <c r="K29" i="91"/>
  <c r="J29" i="91"/>
  <c r="I29" i="91"/>
  <c r="H29" i="91"/>
  <c r="G29" i="91"/>
  <c r="K36" i="91"/>
  <c r="J36" i="91"/>
  <c r="I36" i="91"/>
  <c r="H36" i="91"/>
  <c r="G36" i="91"/>
  <c r="K45" i="91"/>
  <c r="J45" i="91"/>
  <c r="I45" i="91"/>
  <c r="H45" i="91"/>
  <c r="G45" i="91"/>
  <c r="K52" i="91"/>
  <c r="J52" i="91"/>
  <c r="I52" i="91"/>
  <c r="H52" i="91"/>
  <c r="G52" i="91"/>
  <c r="K68" i="91"/>
  <c r="J68" i="91"/>
  <c r="I68" i="91"/>
  <c r="H68" i="91"/>
  <c r="G68" i="91"/>
  <c r="K65" i="91"/>
  <c r="J65" i="91"/>
  <c r="I65" i="91"/>
  <c r="H65" i="91"/>
  <c r="G65" i="91"/>
  <c r="P57" i="105"/>
  <c r="P57" i="106"/>
  <c r="P57" i="98"/>
  <c r="P57" i="103"/>
  <c r="P57" i="91"/>
  <c r="O57" i="105"/>
  <c r="O57" i="106"/>
  <c r="O57" i="98"/>
  <c r="O57" i="103"/>
  <c r="O57" i="91"/>
  <c r="P41" i="105"/>
  <c r="P41" i="106"/>
  <c r="P41" i="98"/>
  <c r="P41" i="103"/>
  <c r="P41" i="91"/>
  <c r="O41" i="105"/>
  <c r="O41" i="106"/>
  <c r="O41" i="98"/>
  <c r="O41" i="103"/>
  <c r="O41" i="91"/>
  <c r="P25" i="105"/>
  <c r="P25" i="106"/>
  <c r="P25" i="98"/>
  <c r="P25" i="103"/>
  <c r="P25" i="91"/>
  <c r="O25" i="105"/>
  <c r="O25" i="106"/>
  <c r="O25" i="98"/>
  <c r="O25" i="103"/>
  <c r="O25" i="91"/>
  <c r="K86" i="105"/>
  <c r="J86" i="105"/>
  <c r="I86" i="105"/>
  <c r="H86" i="105"/>
  <c r="G86" i="105"/>
  <c r="K85" i="105"/>
  <c r="K87" i="105" s="1"/>
  <c r="J85" i="105"/>
  <c r="J87" i="105" s="1"/>
  <c r="I85" i="105"/>
  <c r="I87" i="105" s="1"/>
  <c r="H85" i="105"/>
  <c r="H87" i="105" s="1"/>
  <c r="G85" i="105"/>
  <c r="G87" i="105" s="1"/>
  <c r="B85" i="105"/>
  <c r="K84" i="105"/>
  <c r="J84" i="105"/>
  <c r="I84" i="105"/>
  <c r="H84" i="105"/>
  <c r="G84" i="105"/>
  <c r="P82" i="105"/>
  <c r="O82" i="105"/>
  <c r="K81" i="105"/>
  <c r="J81" i="105"/>
  <c r="I81" i="105"/>
  <c r="H81" i="105"/>
  <c r="G81" i="105"/>
  <c r="D80" i="105"/>
  <c r="D83" i="105" s="1"/>
  <c r="D86" i="105" s="1"/>
  <c r="P79" i="105"/>
  <c r="O79" i="105"/>
  <c r="B78" i="105"/>
  <c r="K77" i="105"/>
  <c r="J77" i="105"/>
  <c r="I77" i="105"/>
  <c r="H77" i="105"/>
  <c r="G77" i="105"/>
  <c r="D77" i="105"/>
  <c r="D81" i="105" s="1"/>
  <c r="D84" i="105" s="1"/>
  <c r="D87" i="105" s="1"/>
  <c r="D76" i="105"/>
  <c r="D75" i="105"/>
  <c r="D79" i="105" s="1"/>
  <c r="D82" i="105" s="1"/>
  <c r="D85" i="105" s="1"/>
  <c r="B75" i="105"/>
  <c r="B74" i="105"/>
  <c r="K86" i="106"/>
  <c r="J86" i="106"/>
  <c r="I86" i="106"/>
  <c r="H86" i="106"/>
  <c r="G86" i="106"/>
  <c r="K85" i="106"/>
  <c r="K87" i="106" s="1"/>
  <c r="J85" i="106"/>
  <c r="J87" i="106" s="1"/>
  <c r="I85" i="106"/>
  <c r="I87" i="106" s="1"/>
  <c r="H85" i="106"/>
  <c r="H87" i="106" s="1"/>
  <c r="G85" i="106"/>
  <c r="G87" i="106" s="1"/>
  <c r="B85" i="106"/>
  <c r="K84" i="106"/>
  <c r="J84" i="106"/>
  <c r="I84" i="106"/>
  <c r="H84" i="106"/>
  <c r="G84" i="106"/>
  <c r="P82" i="106"/>
  <c r="O82" i="106"/>
  <c r="K81" i="106"/>
  <c r="J81" i="106"/>
  <c r="I81" i="106"/>
  <c r="H81" i="106"/>
  <c r="G81" i="106"/>
  <c r="D80" i="106"/>
  <c r="D83" i="106" s="1"/>
  <c r="D86" i="106" s="1"/>
  <c r="P79" i="106"/>
  <c r="O79" i="106"/>
  <c r="B78" i="106"/>
  <c r="K77" i="106"/>
  <c r="J77" i="106"/>
  <c r="I77" i="106"/>
  <c r="H77" i="106"/>
  <c r="G77" i="106"/>
  <c r="D77" i="106"/>
  <c r="D81" i="106" s="1"/>
  <c r="D84" i="106" s="1"/>
  <c r="D87" i="106" s="1"/>
  <c r="D76" i="106"/>
  <c r="D75" i="106"/>
  <c r="D79" i="106" s="1"/>
  <c r="D82" i="106" s="1"/>
  <c r="D85" i="106" s="1"/>
  <c r="B75" i="106"/>
  <c r="B74" i="106"/>
  <c r="K86" i="98"/>
  <c r="J86" i="98"/>
  <c r="I86" i="98"/>
  <c r="H86" i="98"/>
  <c r="G86" i="98"/>
  <c r="K85" i="98"/>
  <c r="K87" i="98" s="1"/>
  <c r="J85" i="98"/>
  <c r="J87" i="98" s="1"/>
  <c r="I85" i="98"/>
  <c r="I87" i="98" s="1"/>
  <c r="H85" i="98"/>
  <c r="H87" i="98" s="1"/>
  <c r="G85" i="98"/>
  <c r="G87" i="98" s="1"/>
  <c r="B85" i="98"/>
  <c r="K84" i="98"/>
  <c r="J84" i="98"/>
  <c r="I84" i="98"/>
  <c r="H84" i="98"/>
  <c r="G84" i="98"/>
  <c r="P82" i="98"/>
  <c r="O82" i="98"/>
  <c r="K81" i="98"/>
  <c r="J81" i="98"/>
  <c r="I81" i="98"/>
  <c r="H81" i="98"/>
  <c r="G81" i="98"/>
  <c r="D80" i="98"/>
  <c r="D83" i="98" s="1"/>
  <c r="D86" i="98" s="1"/>
  <c r="P79" i="98"/>
  <c r="O79" i="98"/>
  <c r="B78" i="98"/>
  <c r="K77" i="98"/>
  <c r="J77" i="98"/>
  <c r="I77" i="98"/>
  <c r="H77" i="98"/>
  <c r="G77" i="98"/>
  <c r="D77" i="98"/>
  <c r="D81" i="98" s="1"/>
  <c r="D84" i="98" s="1"/>
  <c r="D87" i="98" s="1"/>
  <c r="D76" i="98"/>
  <c r="D75" i="98"/>
  <c r="D79" i="98" s="1"/>
  <c r="D82" i="98" s="1"/>
  <c r="D85" i="98" s="1"/>
  <c r="B75" i="98"/>
  <c r="B74" i="98"/>
  <c r="K86" i="103"/>
  <c r="J86" i="103"/>
  <c r="I86" i="103"/>
  <c r="H86" i="103"/>
  <c r="G86" i="103"/>
  <c r="K85" i="103"/>
  <c r="K87" i="103" s="1"/>
  <c r="J85" i="103"/>
  <c r="J87" i="103" s="1"/>
  <c r="I85" i="103"/>
  <c r="I87" i="103" s="1"/>
  <c r="H85" i="103"/>
  <c r="H87" i="103" s="1"/>
  <c r="G85" i="103"/>
  <c r="G87" i="103" s="1"/>
  <c r="B85" i="103"/>
  <c r="K84" i="103"/>
  <c r="J84" i="103"/>
  <c r="I84" i="103"/>
  <c r="H84" i="103"/>
  <c r="G84" i="103"/>
  <c r="P82" i="103"/>
  <c r="O82" i="103"/>
  <c r="K81" i="103"/>
  <c r="J81" i="103"/>
  <c r="I81" i="103"/>
  <c r="H81" i="103"/>
  <c r="G81" i="103"/>
  <c r="D80" i="103"/>
  <c r="D83" i="103" s="1"/>
  <c r="D86" i="103" s="1"/>
  <c r="P79" i="103"/>
  <c r="O79" i="103"/>
  <c r="B78" i="103"/>
  <c r="K77" i="103"/>
  <c r="J77" i="103"/>
  <c r="I77" i="103"/>
  <c r="H77" i="103"/>
  <c r="G77" i="103"/>
  <c r="D77" i="103"/>
  <c r="D81" i="103" s="1"/>
  <c r="D84" i="103" s="1"/>
  <c r="D87" i="103" s="1"/>
  <c r="D76" i="103"/>
  <c r="D75" i="103"/>
  <c r="D79" i="103" s="1"/>
  <c r="D82" i="103" s="1"/>
  <c r="D85" i="103" s="1"/>
  <c r="B75" i="103"/>
  <c r="B74" i="103"/>
  <c r="K86" i="91"/>
  <c r="J86" i="91"/>
  <c r="I86" i="91"/>
  <c r="H86" i="91"/>
  <c r="G86" i="91"/>
  <c r="K85" i="91"/>
  <c r="K87" i="91" s="1"/>
  <c r="J85" i="91"/>
  <c r="J87" i="91" s="1"/>
  <c r="I85" i="91"/>
  <c r="I87" i="91" s="1"/>
  <c r="H85" i="91"/>
  <c r="H87" i="91" s="1"/>
  <c r="G85" i="91"/>
  <c r="G87" i="91" s="1"/>
  <c r="B85" i="91"/>
  <c r="K84" i="91"/>
  <c r="J84" i="91"/>
  <c r="I84" i="91"/>
  <c r="H84" i="91"/>
  <c r="G84" i="91"/>
  <c r="P82" i="91"/>
  <c r="O82" i="91"/>
  <c r="K81" i="91"/>
  <c r="J81" i="91"/>
  <c r="I81" i="91"/>
  <c r="H81" i="91"/>
  <c r="G81" i="91"/>
  <c r="D80" i="91"/>
  <c r="D83" i="91" s="1"/>
  <c r="D86" i="91" s="1"/>
  <c r="P79" i="91"/>
  <c r="O79" i="91"/>
  <c r="B78" i="91"/>
  <c r="K77" i="91"/>
  <c r="J77" i="91"/>
  <c r="I77" i="91"/>
  <c r="H77" i="91"/>
  <c r="G77" i="91"/>
  <c r="D77" i="91"/>
  <c r="D81" i="91" s="1"/>
  <c r="D84" i="91" s="1"/>
  <c r="D87" i="91" s="1"/>
  <c r="D76" i="91"/>
  <c r="D75" i="91"/>
  <c r="D79" i="91" s="1"/>
  <c r="D82" i="91" s="1"/>
  <c r="D85" i="91" s="1"/>
  <c r="B75" i="91"/>
  <c r="B74" i="91"/>
  <c r="K70" i="105"/>
  <c r="J70" i="105"/>
  <c r="I70" i="105"/>
  <c r="H70" i="105"/>
  <c r="G70" i="105"/>
  <c r="K69" i="105"/>
  <c r="K71" i="105" s="1"/>
  <c r="J69" i="105"/>
  <c r="J71" i="105" s="1"/>
  <c r="I69" i="105"/>
  <c r="I71" i="105" s="1"/>
  <c r="H69" i="105"/>
  <c r="G69" i="105"/>
  <c r="G71" i="105" s="1"/>
  <c r="B69" i="105"/>
  <c r="P66" i="105"/>
  <c r="O66" i="105"/>
  <c r="D64" i="105"/>
  <c r="D67" i="105" s="1"/>
  <c r="D70" i="105" s="1"/>
  <c r="P63" i="105"/>
  <c r="O63" i="105"/>
  <c r="B62" i="105"/>
  <c r="K61" i="105"/>
  <c r="J61" i="105"/>
  <c r="I61" i="105"/>
  <c r="H61" i="105"/>
  <c r="G61" i="105"/>
  <c r="D61" i="105"/>
  <c r="D65" i="105" s="1"/>
  <c r="D68" i="105" s="1"/>
  <c r="D71" i="105" s="1"/>
  <c r="D60" i="105"/>
  <c r="D59" i="105"/>
  <c r="D63" i="105" s="1"/>
  <c r="D66" i="105" s="1"/>
  <c r="D69" i="105" s="1"/>
  <c r="B59" i="105"/>
  <c r="B58" i="105"/>
  <c r="K70" i="106"/>
  <c r="J70" i="106"/>
  <c r="I70" i="106"/>
  <c r="H70" i="106"/>
  <c r="G70" i="106"/>
  <c r="K69" i="106"/>
  <c r="K71" i="106" s="1"/>
  <c r="J69" i="106"/>
  <c r="J71" i="106" s="1"/>
  <c r="I69" i="106"/>
  <c r="I71" i="106" s="1"/>
  <c r="H69" i="106"/>
  <c r="H71" i="106" s="1"/>
  <c r="G69" i="106"/>
  <c r="B69" i="106"/>
  <c r="P66" i="106"/>
  <c r="O66" i="106"/>
  <c r="D64" i="106"/>
  <c r="D67" i="106" s="1"/>
  <c r="D70" i="106" s="1"/>
  <c r="P63" i="106"/>
  <c r="O63" i="106"/>
  <c r="B62" i="106"/>
  <c r="K61" i="106"/>
  <c r="J61" i="106"/>
  <c r="I61" i="106"/>
  <c r="H61" i="106"/>
  <c r="G61" i="106"/>
  <c r="D61" i="106"/>
  <c r="D65" i="106" s="1"/>
  <c r="D68" i="106" s="1"/>
  <c r="D71" i="106" s="1"/>
  <c r="D60" i="106"/>
  <c r="D59" i="106"/>
  <c r="D63" i="106" s="1"/>
  <c r="D66" i="106" s="1"/>
  <c r="D69" i="106" s="1"/>
  <c r="B59" i="106"/>
  <c r="B58" i="106"/>
  <c r="K70" i="98"/>
  <c r="J70" i="98"/>
  <c r="I70" i="98"/>
  <c r="H70" i="98"/>
  <c r="G70" i="98"/>
  <c r="K69" i="98"/>
  <c r="K71" i="98" s="1"/>
  <c r="J69" i="98"/>
  <c r="I69" i="98"/>
  <c r="I71" i="98" s="1"/>
  <c r="H69" i="98"/>
  <c r="H71" i="98" s="1"/>
  <c r="G69" i="98"/>
  <c r="G71" i="98" s="1"/>
  <c r="B69" i="98"/>
  <c r="P66" i="98"/>
  <c r="O66" i="98"/>
  <c r="D64" i="98"/>
  <c r="D67" i="98" s="1"/>
  <c r="D70" i="98" s="1"/>
  <c r="P63" i="98"/>
  <c r="O63" i="98"/>
  <c r="B63" i="98" s="1"/>
  <c r="B62" i="98"/>
  <c r="K61" i="98"/>
  <c r="J61" i="98"/>
  <c r="I61" i="98"/>
  <c r="H61" i="98"/>
  <c r="G61" i="98"/>
  <c r="D61" i="98"/>
  <c r="D65" i="98" s="1"/>
  <c r="D68" i="98" s="1"/>
  <c r="D71" i="98" s="1"/>
  <c r="D60" i="98"/>
  <c r="D59" i="98"/>
  <c r="D63" i="98" s="1"/>
  <c r="D66" i="98" s="1"/>
  <c r="D69" i="98" s="1"/>
  <c r="B59" i="98"/>
  <c r="B58" i="98"/>
  <c r="K70" i="103"/>
  <c r="J70" i="103"/>
  <c r="I70" i="103"/>
  <c r="H70" i="103"/>
  <c r="G70" i="103"/>
  <c r="K69" i="103"/>
  <c r="K71" i="103" s="1"/>
  <c r="J69" i="103"/>
  <c r="J71" i="103" s="1"/>
  <c r="I69" i="103"/>
  <c r="I71" i="103" s="1"/>
  <c r="H69" i="103"/>
  <c r="H71" i="103" s="1"/>
  <c r="G69" i="103"/>
  <c r="G71" i="103" s="1"/>
  <c r="B69" i="103"/>
  <c r="P66" i="103"/>
  <c r="O66" i="103"/>
  <c r="B66" i="103" s="1"/>
  <c r="D64" i="103"/>
  <c r="D67" i="103" s="1"/>
  <c r="D70" i="103" s="1"/>
  <c r="P63" i="103"/>
  <c r="O63" i="103"/>
  <c r="B62" i="103"/>
  <c r="K61" i="103"/>
  <c r="J61" i="103"/>
  <c r="I61" i="103"/>
  <c r="H61" i="103"/>
  <c r="G61" i="103"/>
  <c r="D61" i="103"/>
  <c r="D65" i="103" s="1"/>
  <c r="D68" i="103" s="1"/>
  <c r="D71" i="103" s="1"/>
  <c r="D60" i="103"/>
  <c r="D59" i="103"/>
  <c r="D63" i="103" s="1"/>
  <c r="D66" i="103" s="1"/>
  <c r="D69" i="103" s="1"/>
  <c r="B59" i="103"/>
  <c r="B58" i="103"/>
  <c r="K70" i="91"/>
  <c r="J70" i="91"/>
  <c r="I70" i="91"/>
  <c r="H70" i="91"/>
  <c r="G70" i="91"/>
  <c r="K69" i="91"/>
  <c r="K71" i="91" s="1"/>
  <c r="J69" i="91"/>
  <c r="J71" i="91" s="1"/>
  <c r="I69" i="91"/>
  <c r="I71" i="91" s="1"/>
  <c r="H69" i="91"/>
  <c r="H71" i="91" s="1"/>
  <c r="G69" i="91"/>
  <c r="B69" i="91"/>
  <c r="P66" i="91"/>
  <c r="B66" i="91" s="1"/>
  <c r="O66" i="91"/>
  <c r="D64" i="91"/>
  <c r="D67" i="91" s="1"/>
  <c r="D70" i="91" s="1"/>
  <c r="D68" i="92" s="1"/>
  <c r="P63" i="91"/>
  <c r="O63" i="91"/>
  <c r="B63" i="91"/>
  <c r="B62" i="91"/>
  <c r="K61" i="91"/>
  <c r="J61" i="91"/>
  <c r="I61" i="91"/>
  <c r="H61" i="91"/>
  <c r="G61" i="91"/>
  <c r="D61" i="91"/>
  <c r="D65" i="91" s="1"/>
  <c r="D68" i="91" s="1"/>
  <c r="D71" i="91" s="1"/>
  <c r="D60" i="91"/>
  <c r="D59" i="91"/>
  <c r="D63" i="91" s="1"/>
  <c r="D66" i="91" s="1"/>
  <c r="D69" i="91" s="1"/>
  <c r="B59" i="91"/>
  <c r="B58" i="91"/>
  <c r="K54" i="105"/>
  <c r="J54" i="105"/>
  <c r="I54" i="105"/>
  <c r="H54" i="105"/>
  <c r="G54" i="105"/>
  <c r="K53" i="105"/>
  <c r="K55" i="105" s="1"/>
  <c r="J53" i="105"/>
  <c r="J55" i="105" s="1"/>
  <c r="I53" i="105"/>
  <c r="I55" i="105" s="1"/>
  <c r="H53" i="105"/>
  <c r="G53" i="105"/>
  <c r="G55" i="105" s="1"/>
  <c r="B53" i="105"/>
  <c r="P50" i="105"/>
  <c r="O50" i="105"/>
  <c r="K49" i="105"/>
  <c r="J49" i="105"/>
  <c r="I49" i="105"/>
  <c r="H49" i="105"/>
  <c r="G49" i="105"/>
  <c r="D48" i="105"/>
  <c r="D51" i="105" s="1"/>
  <c r="D54" i="105" s="1"/>
  <c r="P47" i="105"/>
  <c r="O47" i="105"/>
  <c r="B46" i="105"/>
  <c r="D45" i="105"/>
  <c r="D49" i="105" s="1"/>
  <c r="D52" i="105" s="1"/>
  <c r="D55" i="105" s="1"/>
  <c r="D44" i="105"/>
  <c r="D43" i="105"/>
  <c r="D47" i="105" s="1"/>
  <c r="D50" i="105" s="1"/>
  <c r="D53" i="105" s="1"/>
  <c r="B43" i="105"/>
  <c r="B42" i="105"/>
  <c r="K54" i="106"/>
  <c r="J54" i="106"/>
  <c r="I54" i="106"/>
  <c r="H54" i="106"/>
  <c r="G54" i="106"/>
  <c r="K53" i="106"/>
  <c r="K55" i="106" s="1"/>
  <c r="J53" i="106"/>
  <c r="J55" i="106" s="1"/>
  <c r="I53" i="106"/>
  <c r="H53" i="106"/>
  <c r="H55" i="106" s="1"/>
  <c r="G53" i="106"/>
  <c r="G55" i="106" s="1"/>
  <c r="B53" i="106"/>
  <c r="P50" i="106"/>
  <c r="O50" i="106"/>
  <c r="K49" i="106"/>
  <c r="J49" i="106"/>
  <c r="I49" i="106"/>
  <c r="H49" i="106"/>
  <c r="G49" i="106"/>
  <c r="D48" i="106"/>
  <c r="D51" i="106" s="1"/>
  <c r="D54" i="106" s="1"/>
  <c r="P47" i="106"/>
  <c r="O47" i="106"/>
  <c r="B46" i="106"/>
  <c r="D45" i="106"/>
  <c r="D49" i="106" s="1"/>
  <c r="D52" i="106" s="1"/>
  <c r="D55" i="106" s="1"/>
  <c r="D44" i="106"/>
  <c r="D43" i="106"/>
  <c r="D47" i="106" s="1"/>
  <c r="D50" i="106" s="1"/>
  <c r="D53" i="106" s="1"/>
  <c r="B43" i="106"/>
  <c r="B42" i="106"/>
  <c r="K54" i="98"/>
  <c r="J54" i="98"/>
  <c r="I54" i="98"/>
  <c r="H54" i="98"/>
  <c r="G54" i="98"/>
  <c r="K53" i="98"/>
  <c r="K55" i="98" s="1"/>
  <c r="J53" i="98"/>
  <c r="I53" i="98"/>
  <c r="I55" i="98" s="1"/>
  <c r="H53" i="98"/>
  <c r="H55" i="98" s="1"/>
  <c r="G53" i="98"/>
  <c r="G55" i="98" s="1"/>
  <c r="B53" i="98"/>
  <c r="P50" i="98"/>
  <c r="O50" i="98"/>
  <c r="K49" i="98"/>
  <c r="J49" i="98"/>
  <c r="I49" i="98"/>
  <c r="H49" i="98"/>
  <c r="G49" i="98"/>
  <c r="D48" i="98"/>
  <c r="D51" i="98" s="1"/>
  <c r="D54" i="98" s="1"/>
  <c r="P47" i="98"/>
  <c r="O47" i="98"/>
  <c r="B46" i="98"/>
  <c r="D45" i="98"/>
  <c r="D49" i="98" s="1"/>
  <c r="D52" i="98" s="1"/>
  <c r="D55" i="98" s="1"/>
  <c r="D44" i="98"/>
  <c r="D43" i="98"/>
  <c r="D47" i="98" s="1"/>
  <c r="D50" i="98" s="1"/>
  <c r="D53" i="98" s="1"/>
  <c r="B43" i="98"/>
  <c r="B42" i="98"/>
  <c r="K54" i="103"/>
  <c r="J54" i="103"/>
  <c r="I54" i="103"/>
  <c r="H54" i="103"/>
  <c r="G54" i="103"/>
  <c r="K53" i="103"/>
  <c r="K55" i="103" s="1"/>
  <c r="J53" i="103"/>
  <c r="J55" i="103" s="1"/>
  <c r="I53" i="103"/>
  <c r="I55" i="103" s="1"/>
  <c r="H53" i="103"/>
  <c r="H55" i="103" s="1"/>
  <c r="G53" i="103"/>
  <c r="G55" i="103" s="1"/>
  <c r="B53" i="103"/>
  <c r="P50" i="103"/>
  <c r="O50" i="103"/>
  <c r="K49" i="103"/>
  <c r="J49" i="103"/>
  <c r="I49" i="103"/>
  <c r="H49" i="103"/>
  <c r="G49" i="103"/>
  <c r="D48" i="103"/>
  <c r="D51" i="103" s="1"/>
  <c r="D54" i="103" s="1"/>
  <c r="P47" i="103"/>
  <c r="O47" i="103"/>
  <c r="B47" i="103" s="1"/>
  <c r="B46" i="103"/>
  <c r="D45" i="103"/>
  <c r="D49" i="103" s="1"/>
  <c r="D52" i="103" s="1"/>
  <c r="D55" i="103" s="1"/>
  <c r="D44" i="103"/>
  <c r="D43" i="103"/>
  <c r="D47" i="103" s="1"/>
  <c r="D50" i="103" s="1"/>
  <c r="D53" i="103" s="1"/>
  <c r="B43" i="103"/>
  <c r="B42" i="103"/>
  <c r="K54" i="91"/>
  <c r="J54" i="91"/>
  <c r="I54" i="91"/>
  <c r="H54" i="91"/>
  <c r="G54" i="91"/>
  <c r="K53" i="91"/>
  <c r="K55" i="91" s="1"/>
  <c r="J53" i="91"/>
  <c r="J55" i="91" s="1"/>
  <c r="I53" i="91"/>
  <c r="I55" i="91" s="1"/>
  <c r="H53" i="91"/>
  <c r="G53" i="91"/>
  <c r="B53" i="91"/>
  <c r="P50" i="91"/>
  <c r="O50" i="91"/>
  <c r="K49" i="91"/>
  <c r="J49" i="91"/>
  <c r="I49" i="91"/>
  <c r="H49" i="91"/>
  <c r="G49" i="91"/>
  <c r="D48" i="91"/>
  <c r="D51" i="91" s="1"/>
  <c r="D54" i="91" s="1"/>
  <c r="P47" i="91"/>
  <c r="O47" i="91"/>
  <c r="B46" i="91"/>
  <c r="D45" i="91"/>
  <c r="D49" i="91" s="1"/>
  <c r="D52" i="91" s="1"/>
  <c r="D55" i="91" s="1"/>
  <c r="D44" i="91"/>
  <c r="D43" i="91"/>
  <c r="D47" i="91" s="1"/>
  <c r="D50" i="91" s="1"/>
  <c r="D53" i="91" s="1"/>
  <c r="B43" i="91"/>
  <c r="B42" i="91"/>
  <c r="B288" i="106"/>
  <c r="B280" i="106"/>
  <c r="B274" i="106"/>
  <c r="B270" i="106"/>
  <c r="B267" i="106"/>
  <c r="F264" i="106"/>
  <c r="B262" i="106"/>
  <c r="B273" i="106" s="1"/>
  <c r="B277" i="106" s="1"/>
  <c r="B259" i="106"/>
  <c r="B256" i="106"/>
  <c r="B253" i="106"/>
  <c r="I252" i="106"/>
  <c r="H252" i="106"/>
  <c r="G252" i="106"/>
  <c r="B252" i="106"/>
  <c r="B249" i="106"/>
  <c r="I248" i="106"/>
  <c r="H248" i="106"/>
  <c r="G248" i="106"/>
  <c r="B248" i="106"/>
  <c r="B243" i="106"/>
  <c r="B198" i="106"/>
  <c r="B195" i="106"/>
  <c r="I192" i="106"/>
  <c r="H192" i="106"/>
  <c r="G192" i="106"/>
  <c r="B192" i="106"/>
  <c r="I191" i="106"/>
  <c r="H191" i="106"/>
  <c r="G191" i="106"/>
  <c r="B191" i="106"/>
  <c r="I188" i="106"/>
  <c r="H188" i="106"/>
  <c r="G188" i="106"/>
  <c r="B188" i="106"/>
  <c r="I187" i="106"/>
  <c r="H187" i="106"/>
  <c r="G187" i="106"/>
  <c r="B187" i="106"/>
  <c r="B182" i="106"/>
  <c r="B237" i="106"/>
  <c r="B232" i="106"/>
  <c r="B227" i="106"/>
  <c r="B161" i="106"/>
  <c r="B222" i="106" s="1"/>
  <c r="B156" i="106"/>
  <c r="B217" i="106" s="1"/>
  <c r="B151" i="106"/>
  <c r="B212" i="106" s="1"/>
  <c r="B146" i="106"/>
  <c r="B207" i="106" s="1"/>
  <c r="B141" i="106"/>
  <c r="B202" i="106" s="1"/>
  <c r="B138" i="106"/>
  <c r="B135" i="106"/>
  <c r="B132" i="106"/>
  <c r="I131" i="106"/>
  <c r="H131" i="106"/>
  <c r="G131" i="106"/>
  <c r="B131" i="106"/>
  <c r="B128" i="106"/>
  <c r="I127" i="106"/>
  <c r="H127" i="106"/>
  <c r="G127" i="106"/>
  <c r="B127" i="106"/>
  <c r="B122" i="106"/>
  <c r="P114" i="106"/>
  <c r="O114" i="106"/>
  <c r="P110" i="106"/>
  <c r="O110" i="106"/>
  <c r="P106" i="106"/>
  <c r="O106" i="106"/>
  <c r="P102" i="106"/>
  <c r="O102" i="106"/>
  <c r="L100" i="106"/>
  <c r="K100" i="106"/>
  <c r="J100" i="106"/>
  <c r="I100" i="106"/>
  <c r="H100" i="106"/>
  <c r="G100" i="106"/>
  <c r="F100" i="106"/>
  <c r="E100" i="106"/>
  <c r="P98" i="106"/>
  <c r="O98" i="106"/>
  <c r="B93" i="106"/>
  <c r="B90" i="106"/>
  <c r="K38" i="106"/>
  <c r="J38" i="106"/>
  <c r="I38" i="106"/>
  <c r="H38" i="106"/>
  <c r="G38" i="106"/>
  <c r="K37" i="106"/>
  <c r="J37" i="106"/>
  <c r="I37" i="106"/>
  <c r="H37" i="106"/>
  <c r="G37" i="106"/>
  <c r="B37" i="106"/>
  <c r="P34" i="106"/>
  <c r="O34" i="106"/>
  <c r="K33" i="106"/>
  <c r="J33" i="106"/>
  <c r="I33" i="106"/>
  <c r="H33" i="106"/>
  <c r="G33" i="106"/>
  <c r="D32" i="106"/>
  <c r="P31" i="106"/>
  <c r="O31" i="106"/>
  <c r="B31" i="106" s="1"/>
  <c r="B30" i="106"/>
  <c r="D29" i="106"/>
  <c r="D28" i="106"/>
  <c r="D27" i="106"/>
  <c r="B27" i="106"/>
  <c r="B26" i="106"/>
  <c r="K25" i="106"/>
  <c r="J25" i="106"/>
  <c r="J41" i="106" s="1"/>
  <c r="J57" i="106" s="1"/>
  <c r="J73" i="106" s="1"/>
  <c r="G25" i="106"/>
  <c r="H25" i="106" s="1"/>
  <c r="I25" i="106" s="1"/>
  <c r="I41" i="106" s="1"/>
  <c r="I57" i="106" s="1"/>
  <c r="I73" i="106" s="1"/>
  <c r="B23" i="106"/>
  <c r="B22" i="106"/>
  <c r="B19" i="106"/>
  <c r="B17" i="106"/>
  <c r="B10" i="106"/>
  <c r="B288" i="105"/>
  <c r="B280" i="105"/>
  <c r="B274" i="105"/>
  <c r="B270" i="105"/>
  <c r="B267" i="105"/>
  <c r="F264" i="105"/>
  <c r="B262" i="105"/>
  <c r="B273" i="105" s="1"/>
  <c r="B277" i="105" s="1"/>
  <c r="B259" i="105"/>
  <c r="B256" i="105"/>
  <c r="B253" i="105"/>
  <c r="I252" i="105"/>
  <c r="H252" i="105"/>
  <c r="G252" i="105"/>
  <c r="B252" i="105"/>
  <c r="B249" i="105"/>
  <c r="I248" i="105"/>
  <c r="H248" i="105"/>
  <c r="G248" i="105"/>
  <c r="B248" i="105"/>
  <c r="B243" i="105"/>
  <c r="B198" i="105"/>
  <c r="B195" i="105"/>
  <c r="I192" i="105"/>
  <c r="H192" i="105"/>
  <c r="G192" i="105"/>
  <c r="B192" i="105"/>
  <c r="I191" i="105"/>
  <c r="H191" i="105"/>
  <c r="G191" i="105"/>
  <c r="B191" i="105"/>
  <c r="I188" i="105"/>
  <c r="H188" i="105"/>
  <c r="G188" i="105"/>
  <c r="B188" i="105"/>
  <c r="I187" i="105"/>
  <c r="H187" i="105"/>
  <c r="G187" i="105"/>
  <c r="B187" i="105"/>
  <c r="B182" i="105"/>
  <c r="B237" i="105"/>
  <c r="B232" i="105"/>
  <c r="B227" i="105"/>
  <c r="B161" i="105"/>
  <c r="B222" i="105" s="1"/>
  <c r="B156" i="105"/>
  <c r="B217" i="105" s="1"/>
  <c r="B151" i="105"/>
  <c r="B212" i="105" s="1"/>
  <c r="B146" i="105"/>
  <c r="B207" i="105" s="1"/>
  <c r="B141" i="105"/>
  <c r="B202" i="105" s="1"/>
  <c r="B138" i="105"/>
  <c r="B135" i="105"/>
  <c r="B132" i="105"/>
  <c r="I131" i="105"/>
  <c r="H131" i="105"/>
  <c r="G131" i="105"/>
  <c r="B131" i="105"/>
  <c r="B128" i="105"/>
  <c r="I127" i="105"/>
  <c r="H127" i="105"/>
  <c r="G127" i="105"/>
  <c r="B127" i="105"/>
  <c r="B122" i="105"/>
  <c r="P114" i="105"/>
  <c r="O114" i="105"/>
  <c r="B113" i="105" s="1"/>
  <c r="P110" i="105"/>
  <c r="O110" i="105"/>
  <c r="P106" i="105"/>
  <c r="O106" i="105"/>
  <c r="P102" i="105"/>
  <c r="O102" i="105"/>
  <c r="B101" i="105" s="1"/>
  <c r="L100" i="105"/>
  <c r="K100" i="105"/>
  <c r="J100" i="105"/>
  <c r="I100" i="105"/>
  <c r="H100" i="105"/>
  <c r="G100" i="105"/>
  <c r="F100" i="105"/>
  <c r="E100" i="105"/>
  <c r="P98" i="105"/>
  <c r="O98" i="105"/>
  <c r="B93" i="105"/>
  <c r="B90" i="105"/>
  <c r="K38" i="105"/>
  <c r="J38" i="105"/>
  <c r="I38" i="105"/>
  <c r="H38" i="105"/>
  <c r="G38" i="105"/>
  <c r="K37" i="105"/>
  <c r="J37" i="105"/>
  <c r="I37" i="105"/>
  <c r="H37" i="105"/>
  <c r="G37" i="105"/>
  <c r="B37" i="105"/>
  <c r="P34" i="105"/>
  <c r="O34" i="105"/>
  <c r="K33" i="105"/>
  <c r="J33" i="105"/>
  <c r="I33" i="105"/>
  <c r="H33" i="105"/>
  <c r="G33" i="105"/>
  <c r="D32" i="105"/>
  <c r="P31" i="105"/>
  <c r="O31" i="105"/>
  <c r="B30" i="105"/>
  <c r="D29" i="105"/>
  <c r="D28" i="105"/>
  <c r="D27" i="105"/>
  <c r="B27" i="105"/>
  <c r="B26" i="105"/>
  <c r="K25" i="105"/>
  <c r="J25" i="105"/>
  <c r="J41" i="105" s="1"/>
  <c r="J57" i="105" s="1"/>
  <c r="J73" i="105" s="1"/>
  <c r="G25" i="105"/>
  <c r="G41" i="105" s="1"/>
  <c r="G57" i="105" s="1"/>
  <c r="G73" i="105" s="1"/>
  <c r="B23" i="105"/>
  <c r="B22" i="105"/>
  <c r="B19" i="105"/>
  <c r="B17" i="105"/>
  <c r="B10" i="105"/>
  <c r="D47" i="80"/>
  <c r="G22" i="105" s="1"/>
  <c r="B8" i="80"/>
  <c r="C8" i="80" s="1"/>
  <c r="C6" i="80"/>
  <c r="C2" i="80"/>
  <c r="B36" i="82"/>
  <c r="B148" i="83"/>
  <c r="B79" i="106" l="1"/>
  <c r="B62" i="92"/>
  <c r="B63" i="103"/>
  <c r="B66" i="105"/>
  <c r="B79" i="91"/>
  <c r="B82" i="105"/>
  <c r="B79" i="98"/>
  <c r="B109" i="105"/>
  <c r="B50" i="91"/>
  <c r="B50" i="105"/>
  <c r="B82" i="91"/>
  <c r="B41" i="105"/>
  <c r="D31" i="106"/>
  <c r="B118" i="106" s="1"/>
  <c r="B168" i="106"/>
  <c r="B173" i="106"/>
  <c r="B178" i="106"/>
  <c r="B34" i="106"/>
  <c r="B47" i="106"/>
  <c r="B25" i="103"/>
  <c r="B41" i="106"/>
  <c r="B25" i="98"/>
  <c r="B169" i="106"/>
  <c r="B174" i="106"/>
  <c r="B179" i="106"/>
  <c r="B82" i="98"/>
  <c r="B57" i="103"/>
  <c r="B169" i="105"/>
  <c r="B174" i="105"/>
  <c r="B179" i="105"/>
  <c r="B170" i="105"/>
  <c r="B175" i="105"/>
  <c r="B180" i="105"/>
  <c r="B113" i="106"/>
  <c r="B79" i="105"/>
  <c r="B41" i="91"/>
  <c r="C264" i="106"/>
  <c r="B170" i="106"/>
  <c r="B175" i="106"/>
  <c r="B180" i="106"/>
  <c r="D31" i="105"/>
  <c r="B118" i="105" s="1"/>
  <c r="B168" i="105"/>
  <c r="B173" i="105"/>
  <c r="B178" i="105"/>
  <c r="B66" i="98"/>
  <c r="B63" i="106"/>
  <c r="B25" i="91"/>
  <c r="B41" i="98"/>
  <c r="B57" i="105"/>
  <c r="B101" i="106"/>
  <c r="I55" i="106"/>
  <c r="B66" i="106"/>
  <c r="B63" i="105"/>
  <c r="B82" i="103"/>
  <c r="B25" i="106"/>
  <c r="G55" i="91"/>
  <c r="B50" i="103"/>
  <c r="B25" i="105"/>
  <c r="B97" i="106"/>
  <c r="B105" i="106"/>
  <c r="B47" i="91"/>
  <c r="B47" i="105"/>
  <c r="B82" i="106"/>
  <c r="B34" i="105"/>
  <c r="B109" i="106"/>
  <c r="B50" i="98"/>
  <c r="B79" i="103"/>
  <c r="B57" i="91"/>
  <c r="B97" i="105"/>
  <c r="B105" i="105"/>
  <c r="B50" i="106"/>
  <c r="B57" i="98"/>
  <c r="B31" i="105"/>
  <c r="B47" i="98"/>
  <c r="B41" i="103"/>
  <c r="B57" i="106"/>
  <c r="H71" i="105"/>
  <c r="J71" i="98"/>
  <c r="G71" i="106"/>
  <c r="H93" i="113"/>
  <c r="G71" i="91"/>
  <c r="H55" i="105"/>
  <c r="H94" i="113"/>
  <c r="H39" i="105"/>
  <c r="E93" i="113"/>
  <c r="I39" i="105"/>
  <c r="F93" i="113"/>
  <c r="J39" i="105"/>
  <c r="G93" i="113"/>
  <c r="H39" i="106"/>
  <c r="E94" i="113"/>
  <c r="J39" i="106"/>
  <c r="G94" i="113"/>
  <c r="O9" i="113"/>
  <c r="N9" i="113"/>
  <c r="M9" i="113"/>
  <c r="K9" i="113"/>
  <c r="L9" i="113"/>
  <c r="K6" i="113"/>
  <c r="K10" i="113"/>
  <c r="O6" i="113"/>
  <c r="O10" i="113"/>
  <c r="N6" i="113"/>
  <c r="N10" i="113"/>
  <c r="M6" i="113"/>
  <c r="M10" i="113"/>
  <c r="L6" i="113"/>
  <c r="L10" i="113"/>
  <c r="G39" i="106"/>
  <c r="D94" i="113"/>
  <c r="G39" i="105"/>
  <c r="D93" i="113"/>
  <c r="J55" i="98"/>
  <c r="F94" i="113"/>
  <c r="H118" i="92"/>
  <c r="H119" i="92" s="1"/>
  <c r="I118" i="92"/>
  <c r="I119" i="92" s="1"/>
  <c r="H80" i="92"/>
  <c r="H81" i="92" s="1"/>
  <c r="K118" i="92"/>
  <c r="K119" i="92" s="1"/>
  <c r="B115" i="105"/>
  <c r="B119" i="105"/>
  <c r="B115" i="106"/>
  <c r="B119" i="106"/>
  <c r="I80" i="92"/>
  <c r="I81" i="92" s="1"/>
  <c r="J118" i="92"/>
  <c r="J119" i="92" s="1"/>
  <c r="B40" i="92"/>
  <c r="B34" i="90"/>
  <c r="B78" i="92"/>
  <c r="B46" i="90"/>
  <c r="B58" i="90"/>
  <c r="B116" i="92"/>
  <c r="K80" i="92"/>
  <c r="K81" i="92" s="1"/>
  <c r="G22" i="106"/>
  <c r="H55" i="91"/>
  <c r="H104" i="92"/>
  <c r="J80" i="92"/>
  <c r="J81" i="92" s="1"/>
  <c r="H125" i="105"/>
  <c r="G125" i="105" s="1"/>
  <c r="G185" i="105" s="1"/>
  <c r="J104" i="92"/>
  <c r="G118" i="92"/>
  <c r="G119" i="92" s="1"/>
  <c r="G283" i="105"/>
  <c r="F283" i="105" s="1"/>
  <c r="I39" i="106"/>
  <c r="K39" i="106"/>
  <c r="K39" i="105"/>
  <c r="G80" i="92"/>
  <c r="G81" i="92" s="1"/>
  <c r="L96" i="106"/>
  <c r="L140" i="106" s="1"/>
  <c r="L201" i="106" s="1"/>
  <c r="I272" i="106" s="1"/>
  <c r="G283" i="106"/>
  <c r="F283" i="106" s="1"/>
  <c r="L96" i="105"/>
  <c r="K96" i="105" s="1"/>
  <c r="J96" i="105" s="1"/>
  <c r="J140" i="105" s="1"/>
  <c r="J201" i="105" s="1"/>
  <c r="G272" i="105" s="1"/>
  <c r="H125" i="106"/>
  <c r="G125" i="106" s="1"/>
  <c r="G129" i="106" s="1"/>
  <c r="H41" i="106"/>
  <c r="H57" i="106" s="1"/>
  <c r="H73" i="106" s="1"/>
  <c r="B149" i="106"/>
  <c r="B103" i="105"/>
  <c r="D35" i="105"/>
  <c r="D38" i="105" s="1"/>
  <c r="B154" i="106"/>
  <c r="B230" i="105"/>
  <c r="B210" i="105"/>
  <c r="B225" i="105"/>
  <c r="B130" i="105"/>
  <c r="B99" i="105"/>
  <c r="B148" i="106"/>
  <c r="B143" i="106"/>
  <c r="B186" i="106" s="1"/>
  <c r="B225" i="106"/>
  <c r="B144" i="106"/>
  <c r="B190" i="106" s="1"/>
  <c r="K41" i="106"/>
  <c r="K57" i="106" s="1"/>
  <c r="K73" i="106" s="1"/>
  <c r="B130" i="106"/>
  <c r="B164" i="106"/>
  <c r="B205" i="105"/>
  <c r="B251" i="105" s="1"/>
  <c r="K41" i="105"/>
  <c r="K57" i="105" s="1"/>
  <c r="K73" i="105" s="1"/>
  <c r="B240" i="105"/>
  <c r="C262" i="106"/>
  <c r="D273" i="106" s="1"/>
  <c r="D277" i="106" s="1"/>
  <c r="B220" i="105"/>
  <c r="B158" i="106"/>
  <c r="B215" i="106"/>
  <c r="G249" i="106"/>
  <c r="C263" i="106"/>
  <c r="G41" i="106"/>
  <c r="G57" i="106" s="1"/>
  <c r="G73" i="106" s="1"/>
  <c r="B159" i="106"/>
  <c r="H25" i="105"/>
  <c r="B111" i="105"/>
  <c r="H132" i="105"/>
  <c r="I249" i="106"/>
  <c r="B163" i="105"/>
  <c r="D35" i="106"/>
  <c r="D38" i="106" s="1"/>
  <c r="B220" i="106"/>
  <c r="B215" i="105"/>
  <c r="B235" i="105"/>
  <c r="B99" i="106"/>
  <c r="B103" i="106"/>
  <c r="B107" i="106"/>
  <c r="G249" i="105"/>
  <c r="C262" i="105"/>
  <c r="G128" i="105"/>
  <c r="B153" i="105"/>
  <c r="I249" i="105"/>
  <c r="C263" i="105"/>
  <c r="B210" i="106"/>
  <c r="B240" i="106"/>
  <c r="I128" i="105"/>
  <c r="B163" i="106"/>
  <c r="B235" i="106"/>
  <c r="B148" i="105"/>
  <c r="G128" i="106"/>
  <c r="B205" i="106"/>
  <c r="B251" i="106" s="1"/>
  <c r="H128" i="106"/>
  <c r="B153" i="106"/>
  <c r="H249" i="106"/>
  <c r="B158" i="105"/>
  <c r="B143" i="105"/>
  <c r="B186" i="105" s="1"/>
  <c r="I128" i="106"/>
  <c r="B230" i="106"/>
  <c r="B204" i="106"/>
  <c r="B247" i="106" s="1"/>
  <c r="B239" i="106"/>
  <c r="B234" i="106"/>
  <c r="B229" i="106"/>
  <c r="B219" i="106"/>
  <c r="B209" i="106"/>
  <c r="B98" i="106"/>
  <c r="B145" i="106"/>
  <c r="B150" i="106"/>
  <c r="B155" i="106"/>
  <c r="B160" i="106"/>
  <c r="B165" i="106"/>
  <c r="H253" i="106"/>
  <c r="D33" i="106"/>
  <c r="B120" i="106" s="1"/>
  <c r="G253" i="106"/>
  <c r="I253" i="106"/>
  <c r="G132" i="106"/>
  <c r="I132" i="106"/>
  <c r="B111" i="106"/>
  <c r="H132" i="106"/>
  <c r="B102" i="105"/>
  <c r="B229" i="105"/>
  <c r="B98" i="105"/>
  <c r="B106" i="105"/>
  <c r="I132" i="105"/>
  <c r="D33" i="105"/>
  <c r="B120" i="105" s="1"/>
  <c r="H128" i="105"/>
  <c r="G132" i="105"/>
  <c r="H249" i="105"/>
  <c r="C264" i="105"/>
  <c r="B144" i="105"/>
  <c r="B190" i="105" s="1"/>
  <c r="B149" i="105"/>
  <c r="B154" i="105"/>
  <c r="B159" i="105"/>
  <c r="B164" i="105"/>
  <c r="G253" i="105"/>
  <c r="B107" i="105"/>
  <c r="B145" i="105"/>
  <c r="B150" i="105"/>
  <c r="B155" i="105"/>
  <c r="B160" i="105"/>
  <c r="B165" i="105"/>
  <c r="H253" i="105"/>
  <c r="I253" i="105"/>
  <c r="B13" i="90"/>
  <c r="O41" i="81"/>
  <c r="P41" i="81"/>
  <c r="P40" i="81"/>
  <c r="O40" i="81"/>
  <c r="O250" i="83"/>
  <c r="O237" i="83"/>
  <c r="O224" i="83"/>
  <c r="P15" i="83"/>
  <c r="B21" i="83"/>
  <c r="B19" i="83"/>
  <c r="B18" i="83"/>
  <c r="B17" i="83"/>
  <c r="O15" i="83"/>
  <c r="J11" i="90"/>
  <c r="B204" i="105" l="1"/>
  <c r="B247" i="105" s="1"/>
  <c r="B114" i="105"/>
  <c r="B209" i="105"/>
  <c r="B15" i="83"/>
  <c r="B214" i="106"/>
  <c r="B224" i="106"/>
  <c r="B110" i="106"/>
  <c r="B102" i="106"/>
  <c r="B106" i="106"/>
  <c r="D34" i="106"/>
  <c r="D37" i="106" s="1"/>
  <c r="B126" i="106"/>
  <c r="B114" i="106"/>
  <c r="B239" i="105"/>
  <c r="B234" i="105"/>
  <c r="B224" i="105"/>
  <c r="B126" i="105"/>
  <c r="B214" i="105"/>
  <c r="B219" i="105"/>
  <c r="B110" i="105"/>
  <c r="D34" i="105"/>
  <c r="D37" i="105" s="1"/>
  <c r="I125" i="105"/>
  <c r="I185" i="105" s="1"/>
  <c r="I189" i="105" s="1"/>
  <c r="L140" i="105"/>
  <c r="L201" i="105" s="1"/>
  <c r="I272" i="105" s="1"/>
  <c r="D274" i="106"/>
  <c r="D278" i="106" s="1"/>
  <c r="H129" i="106"/>
  <c r="H185" i="106"/>
  <c r="H189" i="106" s="1"/>
  <c r="K140" i="105"/>
  <c r="K201" i="105" s="1"/>
  <c r="H272" i="105" s="1"/>
  <c r="G129" i="105"/>
  <c r="G185" i="106"/>
  <c r="G189" i="106" s="1"/>
  <c r="H185" i="105"/>
  <c r="H189" i="105" s="1"/>
  <c r="H129" i="105"/>
  <c r="I125" i="106"/>
  <c r="I185" i="106" s="1"/>
  <c r="I246" i="106" s="1"/>
  <c r="I250" i="106" s="1"/>
  <c r="K96" i="106"/>
  <c r="J96" i="106" s="1"/>
  <c r="I96" i="106" s="1"/>
  <c r="I140" i="106" s="1"/>
  <c r="I201" i="106" s="1"/>
  <c r="F272" i="106" s="1"/>
  <c r="I129" i="105"/>
  <c r="I25" i="105"/>
  <c r="I41" i="105" s="1"/>
  <c r="I57" i="105" s="1"/>
  <c r="I73" i="105" s="1"/>
  <c r="H41" i="105"/>
  <c r="H57" i="105" s="1"/>
  <c r="H73" i="105" s="1"/>
  <c r="D273" i="105"/>
  <c r="D277" i="105" s="1"/>
  <c r="D274" i="105"/>
  <c r="D278" i="105" s="1"/>
  <c r="I96" i="105"/>
  <c r="I140" i="105" s="1"/>
  <c r="I201" i="105" s="1"/>
  <c r="F272" i="105" s="1"/>
  <c r="D36" i="106"/>
  <c r="D39" i="106" s="1"/>
  <c r="B221" i="106"/>
  <c r="B112" i="106"/>
  <c r="B100" i="106"/>
  <c r="B231" i="106"/>
  <c r="B211" i="106"/>
  <c r="B241" i="106"/>
  <c r="B236" i="106"/>
  <c r="B226" i="106"/>
  <c r="B216" i="106"/>
  <c r="B206" i="106"/>
  <c r="B108" i="106"/>
  <c r="B104" i="106"/>
  <c r="B116" i="106"/>
  <c r="D36" i="105"/>
  <c r="D39" i="105" s="1"/>
  <c r="B112" i="105"/>
  <c r="B108" i="105"/>
  <c r="B104" i="105"/>
  <c r="B100" i="105"/>
  <c r="B241" i="105"/>
  <c r="B236" i="105"/>
  <c r="B231" i="105"/>
  <c r="B226" i="105"/>
  <c r="B221" i="105"/>
  <c r="B216" i="105"/>
  <c r="B211" i="105"/>
  <c r="B206" i="105"/>
  <c r="B116" i="105"/>
  <c r="H246" i="105"/>
  <c r="H250" i="105" s="1"/>
  <c r="G189" i="105"/>
  <c r="G246" i="105"/>
  <c r="G250" i="105" s="1"/>
  <c r="H321" i="83"/>
  <c r="H127" i="83"/>
  <c r="P250" i="83"/>
  <c r="B288" i="103"/>
  <c r="G283" i="103"/>
  <c r="F283" i="103" s="1"/>
  <c r="B280" i="103"/>
  <c r="D274" i="103"/>
  <c r="D278" i="103" s="1"/>
  <c r="B274" i="103"/>
  <c r="D273" i="103"/>
  <c r="D277" i="103" s="1"/>
  <c r="B270" i="103"/>
  <c r="B267" i="103"/>
  <c r="I246" i="105" l="1"/>
  <c r="I250" i="105" s="1"/>
  <c r="I189" i="106"/>
  <c r="H96" i="106"/>
  <c r="G96" i="106" s="1"/>
  <c r="K140" i="106"/>
  <c r="K201" i="106" s="1"/>
  <c r="H272" i="106" s="1"/>
  <c r="G246" i="106"/>
  <c r="G250" i="106" s="1"/>
  <c r="J140" i="106"/>
  <c r="J201" i="106" s="1"/>
  <c r="G272" i="106" s="1"/>
  <c r="I129" i="106"/>
  <c r="H246" i="106"/>
  <c r="H250" i="106" s="1"/>
  <c r="H96" i="105"/>
  <c r="H140" i="105" s="1"/>
  <c r="H201" i="105" s="1"/>
  <c r="E272" i="105" s="1"/>
  <c r="G283" i="98"/>
  <c r="F283" i="98" s="1"/>
  <c r="G283" i="91"/>
  <c r="F283" i="91" s="1"/>
  <c r="B280" i="98"/>
  <c r="B280" i="91"/>
  <c r="G28" i="92"/>
  <c r="B253" i="103"/>
  <c r="I252" i="103"/>
  <c r="H252" i="103"/>
  <c r="G252" i="103"/>
  <c r="B252" i="103"/>
  <c r="B249" i="103"/>
  <c r="I248" i="103"/>
  <c r="H248" i="103"/>
  <c r="G248" i="103"/>
  <c r="B248" i="103"/>
  <c r="B253" i="98"/>
  <c r="I252" i="98"/>
  <c r="H252" i="98"/>
  <c r="G252" i="98"/>
  <c r="B252" i="98"/>
  <c r="B249" i="98"/>
  <c r="I248" i="98"/>
  <c r="H248" i="98"/>
  <c r="G248" i="98"/>
  <c r="B248" i="98"/>
  <c r="I252" i="91"/>
  <c r="H252" i="91"/>
  <c r="G252" i="91"/>
  <c r="B253" i="91"/>
  <c r="B252" i="91"/>
  <c r="I248" i="91"/>
  <c r="H248" i="91"/>
  <c r="B249" i="91"/>
  <c r="B248" i="91"/>
  <c r="G248" i="91"/>
  <c r="I192" i="103"/>
  <c r="H192" i="103"/>
  <c r="G192" i="103"/>
  <c r="B192" i="103"/>
  <c r="I191" i="103"/>
  <c r="H191" i="103"/>
  <c r="G191" i="103"/>
  <c r="B191" i="103"/>
  <c r="I188" i="103"/>
  <c r="H188" i="103"/>
  <c r="G188" i="103"/>
  <c r="B188" i="103"/>
  <c r="I187" i="103"/>
  <c r="H187" i="103"/>
  <c r="G187" i="103"/>
  <c r="B187" i="103"/>
  <c r="I192" i="98"/>
  <c r="H192" i="98"/>
  <c r="G192" i="98"/>
  <c r="B192" i="98"/>
  <c r="I191" i="98"/>
  <c r="H191" i="98"/>
  <c r="G191" i="98"/>
  <c r="B191" i="98"/>
  <c r="I188" i="98"/>
  <c r="H188" i="98"/>
  <c r="G188" i="98"/>
  <c r="B188" i="98"/>
  <c r="I187" i="98"/>
  <c r="H187" i="98"/>
  <c r="G187" i="98"/>
  <c r="B187" i="98"/>
  <c r="I192" i="91"/>
  <c r="H192" i="91"/>
  <c r="G192" i="91"/>
  <c r="I191" i="91"/>
  <c r="H191" i="91"/>
  <c r="G191" i="91"/>
  <c r="B192" i="91"/>
  <c r="B191" i="91"/>
  <c r="I187" i="91"/>
  <c r="I188" i="91"/>
  <c r="H188" i="91"/>
  <c r="G188" i="91"/>
  <c r="H187" i="91"/>
  <c r="G187" i="91"/>
  <c r="B188" i="91"/>
  <c r="B187" i="91"/>
  <c r="H140" i="106" l="1"/>
  <c r="H201" i="106" s="1"/>
  <c r="E272" i="106" s="1"/>
  <c r="G96" i="105"/>
  <c r="G140" i="105" s="1"/>
  <c r="G201" i="105" s="1"/>
  <c r="G140" i="106"/>
  <c r="G201" i="106" s="1"/>
  <c r="F96" i="106"/>
  <c r="B132" i="103"/>
  <c r="I131" i="103"/>
  <c r="H131" i="103"/>
  <c r="G131" i="103"/>
  <c r="B131" i="103"/>
  <c r="B128" i="103"/>
  <c r="I127" i="103"/>
  <c r="H127" i="103"/>
  <c r="G127" i="103"/>
  <c r="B127" i="103"/>
  <c r="H125" i="103"/>
  <c r="H129" i="103" s="1"/>
  <c r="B132" i="98"/>
  <c r="I131" i="98"/>
  <c r="H131" i="98"/>
  <c r="G131" i="98"/>
  <c r="B131" i="98"/>
  <c r="B128" i="98"/>
  <c r="I127" i="98"/>
  <c r="H127" i="98"/>
  <c r="G127" i="98"/>
  <c r="B127" i="98"/>
  <c r="H125" i="98"/>
  <c r="I131" i="91"/>
  <c r="H131" i="91"/>
  <c r="G131" i="91"/>
  <c r="D68" i="80"/>
  <c r="D67" i="80"/>
  <c r="D66" i="80"/>
  <c r="B132" i="91"/>
  <c r="B131" i="91"/>
  <c r="I127" i="91"/>
  <c r="H127" i="91"/>
  <c r="B128" i="91"/>
  <c r="B127" i="91"/>
  <c r="B141" i="91"/>
  <c r="O29" i="113" s="1"/>
  <c r="G127" i="91"/>
  <c r="P68" i="83"/>
  <c r="D40" i="82"/>
  <c r="B40" i="82"/>
  <c r="B21" i="82"/>
  <c r="B129" i="106" l="1"/>
  <c r="B189" i="105"/>
  <c r="B129" i="105"/>
  <c r="B250" i="106"/>
  <c r="B250" i="105"/>
  <c r="B189" i="106"/>
  <c r="F96" i="105"/>
  <c r="F140" i="105" s="1"/>
  <c r="F201" i="105" s="1"/>
  <c r="E96" i="106"/>
  <c r="E140" i="106" s="1"/>
  <c r="E201" i="106" s="1"/>
  <c r="F140" i="106"/>
  <c r="F201" i="106" s="1"/>
  <c r="B250" i="103"/>
  <c r="B250" i="98"/>
  <c r="B250" i="91"/>
  <c r="G125" i="103"/>
  <c r="H185" i="103"/>
  <c r="G125" i="98"/>
  <c r="H185" i="98"/>
  <c r="B129" i="91"/>
  <c r="B189" i="91"/>
  <c r="B189" i="103"/>
  <c r="B189" i="98"/>
  <c r="H129" i="98"/>
  <c r="B129" i="98"/>
  <c r="B129" i="103"/>
  <c r="P58" i="86"/>
  <c r="O58" i="86"/>
  <c r="E96" i="105" l="1"/>
  <c r="E140" i="105" s="1"/>
  <c r="E201" i="105" s="1"/>
  <c r="H189" i="98"/>
  <c r="H246" i="98"/>
  <c r="H250" i="98" s="1"/>
  <c r="H189" i="103"/>
  <c r="H246" i="103"/>
  <c r="H250" i="103" s="1"/>
  <c r="G129" i="103"/>
  <c r="G185" i="103"/>
  <c r="G129" i="98"/>
  <c r="G185" i="98"/>
  <c r="K15" i="104"/>
  <c r="I15" i="104"/>
  <c r="G15" i="104"/>
  <c r="F15" i="104"/>
  <c r="E15" i="104"/>
  <c r="D15" i="104"/>
  <c r="B15" i="104"/>
  <c r="O13" i="104"/>
  <c r="G189" i="98" l="1"/>
  <c r="G246" i="98"/>
  <c r="G250" i="98" s="1"/>
  <c r="G189" i="103"/>
  <c r="G246" i="103"/>
  <c r="G250" i="103" s="1"/>
  <c r="B10" i="81"/>
  <c r="F37" i="90"/>
  <c r="L7" i="113" s="1"/>
  <c r="G37" i="90"/>
  <c r="M7" i="113" s="1"/>
  <c r="H37" i="90"/>
  <c r="N7" i="113" s="1"/>
  <c r="I37" i="90"/>
  <c r="O7" i="113" s="1"/>
  <c r="F38" i="90"/>
  <c r="L8" i="113" s="1"/>
  <c r="G38" i="90"/>
  <c r="M8" i="113" s="1"/>
  <c r="H38" i="90"/>
  <c r="N8" i="113" s="1"/>
  <c r="I38" i="90"/>
  <c r="O8" i="113" s="1"/>
  <c r="F44" i="90"/>
  <c r="G44" i="90"/>
  <c r="H44" i="90"/>
  <c r="I44" i="90"/>
  <c r="E44" i="90"/>
  <c r="E38" i="90"/>
  <c r="K8" i="113" s="1"/>
  <c r="E37" i="90"/>
  <c r="K7" i="113" s="1"/>
  <c r="D12" i="89"/>
  <c r="E12" i="89"/>
  <c r="D12" i="84"/>
  <c r="E12" i="84"/>
  <c r="P83" i="83"/>
  <c r="P182" i="83"/>
  <c r="P292" i="83" l="1"/>
  <c r="P8" i="83"/>
  <c r="O8" i="83" l="1"/>
  <c r="P237" i="83" l="1"/>
  <c r="P224" i="83"/>
  <c r="H33" i="98"/>
  <c r="H33" i="103"/>
  <c r="H33" i="9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E39" i="90"/>
  <c r="G8" i="113" s="1"/>
  <c r="P279" i="83"/>
  <c r="O279" i="83"/>
  <c r="B18" i="90"/>
  <c r="E40" i="81"/>
  <c r="B6" i="82"/>
  <c r="B6" i="81"/>
  <c r="B6" i="105" l="1"/>
  <c r="B6" i="106"/>
  <c r="E51" i="90"/>
  <c r="G8" i="115" s="1"/>
  <c r="E63" i="90"/>
  <c r="B6" i="98"/>
  <c r="B6" i="104"/>
  <c r="B44" i="80"/>
  <c r="B6" i="89"/>
  <c r="B6" i="92"/>
  <c r="B6" i="91"/>
  <c r="B6" i="84"/>
  <c r="B6" i="103"/>
  <c r="B6" i="83"/>
  <c r="B6" i="90"/>
  <c r="B6" i="86"/>
  <c r="M23" i="115" l="1"/>
  <c r="M24" i="115"/>
  <c r="D57" i="80"/>
  <c r="D56" i="80"/>
  <c r="P113" i="83"/>
  <c r="O113" i="83"/>
  <c r="O35" i="86"/>
  <c r="O97" i="83"/>
  <c r="O339" i="83"/>
  <c r="O326" i="83"/>
  <c r="O292" i="83"/>
  <c r="O83" i="83"/>
  <c r="O38" i="81"/>
  <c r="K33" i="91"/>
  <c r="J33" i="91"/>
  <c r="I33" i="91"/>
  <c r="G33" i="91"/>
  <c r="O22" i="86"/>
  <c r="B53" i="89"/>
  <c r="B43" i="89"/>
  <c r="B33" i="89"/>
  <c r="B23" i="89"/>
  <c r="B13" i="89"/>
  <c r="B23" i="84"/>
  <c r="B33" i="84"/>
  <c r="B43" i="84"/>
  <c r="B53" i="84"/>
  <c r="B160" i="83"/>
  <c r="B155" i="83"/>
  <c r="D62" i="80"/>
  <c r="D48" i="80"/>
  <c r="D49" i="80"/>
  <c r="D50" i="80"/>
  <c r="D51" i="80"/>
  <c r="D52" i="80"/>
  <c r="G22" i="91"/>
  <c r="B246" i="105" l="1"/>
  <c r="D284" i="105" s="1"/>
  <c r="B185" i="106"/>
  <c r="B125" i="105"/>
  <c r="B185" i="105"/>
  <c r="B246" i="106"/>
  <c r="D284" i="106" s="1"/>
  <c r="B125" i="106"/>
  <c r="B246" i="103"/>
  <c r="D284" i="103" s="1"/>
  <c r="B246" i="98"/>
  <c r="D284" i="98" s="1"/>
  <c r="B185" i="103"/>
  <c r="B185" i="98"/>
  <c r="B246" i="91"/>
  <c r="D284" i="91" s="1"/>
  <c r="B125" i="98"/>
  <c r="B125" i="103"/>
  <c r="B185" i="91"/>
  <c r="B125" i="91"/>
  <c r="D32" i="82" l="1"/>
  <c r="D28" i="82"/>
  <c r="K38" i="91"/>
  <c r="J38" i="91"/>
  <c r="I38" i="91"/>
  <c r="H38" i="91"/>
  <c r="G38" i="91"/>
  <c r="K37" i="91"/>
  <c r="H92" i="113" s="1"/>
  <c r="J37" i="91"/>
  <c r="I37" i="91"/>
  <c r="F92" i="113" s="1"/>
  <c r="H37" i="91"/>
  <c r="E92" i="113" s="1"/>
  <c r="G37" i="91"/>
  <c r="D92" i="113" s="1"/>
  <c r="B37" i="91"/>
  <c r="D32" i="91"/>
  <c r="B119" i="91" s="1"/>
  <c r="D28" i="91"/>
  <c r="H10" i="81"/>
  <c r="B29" i="90"/>
  <c r="B9" i="90"/>
  <c r="B8" i="90"/>
  <c r="D37" i="90"/>
  <c r="D49" i="90" s="1"/>
  <c r="D61" i="90" s="1"/>
  <c r="D38" i="90"/>
  <c r="D50" i="90" s="1"/>
  <c r="D62" i="90" s="1"/>
  <c r="D36" i="90"/>
  <c r="D48" i="90" s="1"/>
  <c r="D60" i="90" s="1"/>
  <c r="B169" i="91" l="1"/>
  <c r="B174" i="91"/>
  <c r="B179" i="91"/>
  <c r="J39" i="91"/>
  <c r="G92" i="113"/>
  <c r="G39" i="91"/>
  <c r="H39" i="91"/>
  <c r="I39" i="91"/>
  <c r="K39" i="91"/>
  <c r="G253" i="91"/>
  <c r="H253" i="91"/>
  <c r="I128" i="91"/>
  <c r="I249" i="91"/>
  <c r="H128" i="91"/>
  <c r="H249" i="91"/>
  <c r="I132" i="91"/>
  <c r="I253" i="91"/>
  <c r="G128" i="91"/>
  <c r="G249" i="91"/>
  <c r="G132" i="91"/>
  <c r="H132" i="91"/>
  <c r="D30" i="92"/>
  <c r="B130" i="91"/>
  <c r="B107" i="91"/>
  <c r="B111" i="91"/>
  <c r="B210" i="91"/>
  <c r="B215" i="91"/>
  <c r="B230" i="91"/>
  <c r="B144" i="91"/>
  <c r="B190" i="91" s="1"/>
  <c r="B115" i="91"/>
  <c r="B149" i="91"/>
  <c r="B220" i="91"/>
  <c r="B159" i="91"/>
  <c r="B103" i="91"/>
  <c r="B205" i="91"/>
  <c r="B251" i="91" s="1"/>
  <c r="B164" i="91"/>
  <c r="B235" i="91"/>
  <c r="C263" i="91"/>
  <c r="B154" i="91"/>
  <c r="B225" i="91"/>
  <c r="B99" i="91"/>
  <c r="B240" i="91"/>
  <c r="D35" i="91"/>
  <c r="D38" i="91" s="1"/>
  <c r="B8" i="89"/>
  <c r="B19" i="92"/>
  <c r="B23" i="103"/>
  <c r="D39" i="90" s="1"/>
  <c r="D51" i="90" s="1"/>
  <c r="D63" i="90" s="1"/>
  <c r="G22" i="103"/>
  <c r="B22" i="103"/>
  <c r="F264" i="103"/>
  <c r="C264" i="103"/>
  <c r="C263" i="103"/>
  <c r="C262" i="103"/>
  <c r="B259" i="103"/>
  <c r="B256" i="103"/>
  <c r="B243" i="103"/>
  <c r="B241" i="103"/>
  <c r="B240" i="103"/>
  <c r="B239" i="103"/>
  <c r="B236" i="103"/>
  <c r="B235" i="103"/>
  <c r="B234" i="103"/>
  <c r="B231" i="103"/>
  <c r="B230" i="103"/>
  <c r="B229" i="103"/>
  <c r="B226" i="103"/>
  <c r="B225" i="103"/>
  <c r="B224" i="103"/>
  <c r="B221" i="103"/>
  <c r="B220" i="103"/>
  <c r="B219" i="103"/>
  <c r="B216" i="103"/>
  <c r="B215" i="103"/>
  <c r="B214" i="103"/>
  <c r="B211" i="103"/>
  <c r="B210" i="103"/>
  <c r="B209" i="103"/>
  <c r="B206" i="103"/>
  <c r="B205" i="103"/>
  <c r="B251" i="103" s="1"/>
  <c r="B204" i="103"/>
  <c r="B247" i="103" s="1"/>
  <c r="B198" i="103"/>
  <c r="B195" i="103"/>
  <c r="B182" i="103"/>
  <c r="B237" i="103"/>
  <c r="B232" i="103"/>
  <c r="B227" i="103"/>
  <c r="B165" i="103"/>
  <c r="B164" i="103"/>
  <c r="B163" i="103"/>
  <c r="B161" i="103"/>
  <c r="B222" i="103" s="1"/>
  <c r="B160" i="103"/>
  <c r="B159" i="103"/>
  <c r="B158" i="103"/>
  <c r="B156" i="103"/>
  <c r="B217" i="103" s="1"/>
  <c r="B155" i="103"/>
  <c r="B154" i="103"/>
  <c r="B153" i="103"/>
  <c r="B151" i="103"/>
  <c r="B212" i="103" s="1"/>
  <c r="B150" i="103"/>
  <c r="B149" i="103"/>
  <c r="B148" i="103"/>
  <c r="B146" i="103"/>
  <c r="B207" i="103" s="1"/>
  <c r="B145" i="103"/>
  <c r="B144" i="103"/>
  <c r="B190" i="103" s="1"/>
  <c r="B143" i="103"/>
  <c r="B186" i="103" s="1"/>
  <c r="B141" i="103"/>
  <c r="B202" i="103" s="1"/>
  <c r="B138" i="103"/>
  <c r="B135" i="103"/>
  <c r="B122" i="103"/>
  <c r="B116" i="103"/>
  <c r="B115" i="103"/>
  <c r="B114" i="103"/>
  <c r="P113" i="103"/>
  <c r="O113" i="103"/>
  <c r="B112" i="103"/>
  <c r="B111" i="103"/>
  <c r="B110" i="103"/>
  <c r="P109" i="103"/>
  <c r="O109" i="103"/>
  <c r="B108" i="103"/>
  <c r="B107" i="103"/>
  <c r="B106" i="103"/>
  <c r="P105" i="103"/>
  <c r="O105" i="103"/>
  <c r="B104" i="103"/>
  <c r="B103" i="103"/>
  <c r="B102" i="103"/>
  <c r="P101" i="103"/>
  <c r="O101" i="103"/>
  <c r="L100" i="103"/>
  <c r="K100" i="103"/>
  <c r="J100" i="103"/>
  <c r="I100" i="103"/>
  <c r="H100" i="103"/>
  <c r="G100" i="103"/>
  <c r="F100" i="103"/>
  <c r="E100" i="103"/>
  <c r="B100" i="103"/>
  <c r="B99" i="103"/>
  <c r="B98" i="103"/>
  <c r="P97" i="103"/>
  <c r="O97" i="103"/>
  <c r="L96" i="103"/>
  <c r="B93" i="103"/>
  <c r="B90" i="103"/>
  <c r="K38" i="103"/>
  <c r="J38" i="103"/>
  <c r="I38" i="103"/>
  <c r="H38" i="103"/>
  <c r="G38" i="103"/>
  <c r="K37" i="103"/>
  <c r="H96" i="113" s="1"/>
  <c r="J37" i="103"/>
  <c r="I37" i="103"/>
  <c r="F96" i="113" s="1"/>
  <c r="H37" i="103"/>
  <c r="E96" i="113" s="1"/>
  <c r="G37" i="103"/>
  <c r="B37" i="103"/>
  <c r="P34" i="103"/>
  <c r="O34" i="103"/>
  <c r="K33" i="103"/>
  <c r="J33" i="103"/>
  <c r="I33" i="103"/>
  <c r="G33" i="103"/>
  <c r="D32" i="103"/>
  <c r="P31" i="103"/>
  <c r="O31" i="103"/>
  <c r="B30" i="103"/>
  <c r="D29" i="103"/>
  <c r="D33" i="103" s="1"/>
  <c r="D36" i="103" s="1"/>
  <c r="D39" i="103" s="1"/>
  <c r="D28" i="103"/>
  <c r="D27" i="103"/>
  <c r="D31" i="103" s="1"/>
  <c r="B27" i="103"/>
  <c r="B26" i="103"/>
  <c r="K25" i="103"/>
  <c r="K41" i="103" s="1"/>
  <c r="K57" i="103" s="1"/>
  <c r="K73" i="103" s="1"/>
  <c r="J25" i="103"/>
  <c r="J41" i="103" s="1"/>
  <c r="J57" i="103" s="1"/>
  <c r="J73" i="103" s="1"/>
  <c r="G25" i="103"/>
  <c r="B19" i="103"/>
  <c r="B267" i="98"/>
  <c r="B195" i="98"/>
  <c r="B135" i="98"/>
  <c r="B90" i="98"/>
  <c r="B161" i="98"/>
  <c r="B156" i="98"/>
  <c r="B151" i="98"/>
  <c r="B146" i="98"/>
  <c r="B141" i="98"/>
  <c r="H38" i="98"/>
  <c r="I38" i="98"/>
  <c r="J38" i="98"/>
  <c r="K38" i="98"/>
  <c r="G38" i="98"/>
  <c r="H37" i="98"/>
  <c r="E95" i="113" s="1"/>
  <c r="H88" i="113" s="1"/>
  <c r="I37" i="98"/>
  <c r="F95" i="113" s="1"/>
  <c r="J37" i="98"/>
  <c r="K37" i="98"/>
  <c r="H95" i="113" s="1"/>
  <c r="G37" i="98"/>
  <c r="B37" i="98"/>
  <c r="D32" i="98"/>
  <c r="D28" i="98"/>
  <c r="B10" i="91"/>
  <c r="B19" i="98"/>
  <c r="B256" i="91"/>
  <c r="B19" i="91"/>
  <c r="B90" i="91"/>
  <c r="B135" i="91"/>
  <c r="B195" i="91"/>
  <c r="B161" i="91"/>
  <c r="O33" i="113" s="1"/>
  <c r="B156" i="91"/>
  <c r="O32" i="113" s="1"/>
  <c r="B151" i="91"/>
  <c r="O31" i="113" s="1"/>
  <c r="B146" i="91"/>
  <c r="O30" i="113" s="1"/>
  <c r="H125" i="91"/>
  <c r="H129" i="91" s="1"/>
  <c r="D63" i="80"/>
  <c r="D64" i="80"/>
  <c r="H247" i="91" s="1"/>
  <c r="B2" i="86"/>
  <c r="D60" i="80"/>
  <c r="D59" i="80"/>
  <c r="B351" i="83"/>
  <c r="B263" i="83"/>
  <c r="B144" i="83"/>
  <c r="B80" i="83"/>
  <c r="B12" i="83"/>
  <c r="B4" i="82"/>
  <c r="B107" i="81"/>
  <c r="B89" i="81"/>
  <c r="B67" i="81"/>
  <c r="B61" i="81"/>
  <c r="G39" i="98" l="1"/>
  <c r="D95" i="113"/>
  <c r="H87" i="113"/>
  <c r="G39" i="103"/>
  <c r="D96" i="113"/>
  <c r="H85" i="113"/>
  <c r="H86" i="113"/>
  <c r="H89" i="113"/>
  <c r="I89" i="113"/>
  <c r="I86" i="113"/>
  <c r="I88" i="113"/>
  <c r="I85" i="113"/>
  <c r="I87" i="113"/>
  <c r="K89" i="113"/>
  <c r="K87" i="113"/>
  <c r="K88" i="113"/>
  <c r="K85" i="113"/>
  <c r="K86" i="113"/>
  <c r="J39" i="103"/>
  <c r="G96" i="113"/>
  <c r="J39" i="98"/>
  <c r="G95" i="113"/>
  <c r="I126" i="91"/>
  <c r="I130" i="91"/>
  <c r="I251" i="91"/>
  <c r="I247" i="91"/>
  <c r="B2" i="98"/>
  <c r="B2" i="106"/>
  <c r="B2" i="105"/>
  <c r="I190" i="91"/>
  <c r="I186" i="106"/>
  <c r="G186" i="103"/>
  <c r="F284" i="105"/>
  <c r="G284" i="105"/>
  <c r="H190" i="105"/>
  <c r="I186" i="98"/>
  <c r="G186" i="91"/>
  <c r="G190" i="105"/>
  <c r="G284" i="106"/>
  <c r="H190" i="106"/>
  <c r="I186" i="103"/>
  <c r="H190" i="91"/>
  <c r="G284" i="98"/>
  <c r="H190" i="98"/>
  <c r="I186" i="91"/>
  <c r="H186" i="106"/>
  <c r="H186" i="98"/>
  <c r="G284" i="103"/>
  <c r="H190" i="103"/>
  <c r="H186" i="105"/>
  <c r="G284" i="91"/>
  <c r="H247" i="106"/>
  <c r="F284" i="106"/>
  <c r="G190" i="106"/>
  <c r="H186" i="103"/>
  <c r="F284" i="98"/>
  <c r="I190" i="105"/>
  <c r="G190" i="98"/>
  <c r="H186" i="91"/>
  <c r="F284" i="103"/>
  <c r="I190" i="106"/>
  <c r="G190" i="103"/>
  <c r="G186" i="105"/>
  <c r="F284" i="91"/>
  <c r="I190" i="98"/>
  <c r="G190" i="91"/>
  <c r="G186" i="106"/>
  <c r="I190" i="103"/>
  <c r="I186" i="105"/>
  <c r="G186" i="98"/>
  <c r="I251" i="105"/>
  <c r="I126" i="105"/>
  <c r="I130" i="106"/>
  <c r="G130" i="105"/>
  <c r="H251" i="105"/>
  <c r="H251" i="106"/>
  <c r="I251" i="106"/>
  <c r="I247" i="106"/>
  <c r="H126" i="105"/>
  <c r="G126" i="106"/>
  <c r="G126" i="105"/>
  <c r="G247" i="105"/>
  <c r="I130" i="105"/>
  <c r="I247" i="105"/>
  <c r="G251" i="106"/>
  <c r="G251" i="105"/>
  <c r="H126" i="106"/>
  <c r="H247" i="105"/>
  <c r="G247" i="106"/>
  <c r="H130" i="106"/>
  <c r="I126" i="106"/>
  <c r="G130" i="106"/>
  <c r="H130" i="105"/>
  <c r="G126" i="91"/>
  <c r="B4" i="106"/>
  <c r="B4" i="105"/>
  <c r="H130" i="91"/>
  <c r="G247" i="91"/>
  <c r="G130" i="91"/>
  <c r="G42" i="92"/>
  <c r="G43" i="92" s="1"/>
  <c r="H126" i="91"/>
  <c r="H251" i="91"/>
  <c r="G251" i="91"/>
  <c r="K39" i="103"/>
  <c r="I247" i="103"/>
  <c r="I126" i="103"/>
  <c r="G130" i="103"/>
  <c r="G251" i="103"/>
  <c r="H251" i="103"/>
  <c r="H130" i="103"/>
  <c r="I247" i="98"/>
  <c r="I126" i="98"/>
  <c r="K39" i="98"/>
  <c r="I39" i="98"/>
  <c r="H126" i="98"/>
  <c r="H247" i="98"/>
  <c r="I251" i="103"/>
  <c r="I130" i="103"/>
  <c r="H39" i="98"/>
  <c r="G247" i="98"/>
  <c r="G126" i="98"/>
  <c r="I251" i="98"/>
  <c r="I130" i="98"/>
  <c r="G247" i="103"/>
  <c r="G126" i="103"/>
  <c r="H39" i="103"/>
  <c r="K96" i="103"/>
  <c r="J96" i="103" s="1"/>
  <c r="I125" i="103"/>
  <c r="H251" i="98"/>
  <c r="H130" i="98"/>
  <c r="H126" i="103"/>
  <c r="I39" i="103"/>
  <c r="H247" i="103"/>
  <c r="G251" i="98"/>
  <c r="G130" i="98"/>
  <c r="H25" i="103"/>
  <c r="G41" i="103"/>
  <c r="G57" i="103" s="1"/>
  <c r="G73" i="103" s="1"/>
  <c r="B262" i="103"/>
  <c r="B273" i="103"/>
  <c r="B277" i="103" s="1"/>
  <c r="B97" i="103"/>
  <c r="H132" i="103"/>
  <c r="H253" i="103"/>
  <c r="G128" i="103"/>
  <c r="G249" i="103"/>
  <c r="I132" i="103"/>
  <c r="I253" i="103"/>
  <c r="G132" i="98"/>
  <c r="G253" i="98"/>
  <c r="H128" i="98"/>
  <c r="H249" i="98"/>
  <c r="I128" i="98"/>
  <c r="I249" i="98"/>
  <c r="G128" i="98"/>
  <c r="G249" i="98"/>
  <c r="I132" i="98"/>
  <c r="I253" i="98"/>
  <c r="I128" i="103"/>
  <c r="I249" i="103"/>
  <c r="H128" i="103"/>
  <c r="H249" i="103"/>
  <c r="H132" i="98"/>
  <c r="H253" i="98"/>
  <c r="G132" i="103"/>
  <c r="G253" i="103"/>
  <c r="D35" i="98"/>
  <c r="D38" i="98" s="1"/>
  <c r="B130" i="98"/>
  <c r="D35" i="103"/>
  <c r="D38" i="103" s="1"/>
  <c r="B130" i="103"/>
  <c r="D34" i="103"/>
  <c r="D37" i="103" s="1"/>
  <c r="B126" i="103"/>
  <c r="B4" i="103"/>
  <c r="B4" i="104"/>
  <c r="H185" i="91"/>
  <c r="H189" i="91" s="1"/>
  <c r="G125" i="91"/>
  <c r="B31" i="103"/>
  <c r="B101" i="103"/>
  <c r="B109" i="103"/>
  <c r="B113" i="103"/>
  <c r="B34" i="103"/>
  <c r="B105" i="103"/>
  <c r="B2" i="92"/>
  <c r="B2" i="103"/>
  <c r="B2" i="89"/>
  <c r="B2" i="91"/>
  <c r="L140" i="103"/>
  <c r="L201" i="103" s="1"/>
  <c r="I272" i="103" s="1"/>
  <c r="B36" i="81"/>
  <c r="C28" i="81"/>
  <c r="B24" i="81"/>
  <c r="B5" i="81"/>
  <c r="G22" i="98"/>
  <c r="B127" i="86"/>
  <c r="B382" i="83"/>
  <c r="G85" i="113" l="1"/>
  <c r="G89" i="113"/>
  <c r="G88" i="113"/>
  <c r="G86" i="113"/>
  <c r="G87" i="113"/>
  <c r="J89" i="113"/>
  <c r="J85" i="113"/>
  <c r="J86" i="113"/>
  <c r="J88" i="113"/>
  <c r="J87" i="113"/>
  <c r="K140" i="103"/>
  <c r="K201" i="103" s="1"/>
  <c r="H272" i="103" s="1"/>
  <c r="I25" i="103"/>
  <c r="I41" i="103" s="1"/>
  <c r="I57" i="103" s="1"/>
  <c r="I73" i="103" s="1"/>
  <c r="H41" i="103"/>
  <c r="H57" i="103" s="1"/>
  <c r="H73" i="103" s="1"/>
  <c r="P13" i="104"/>
  <c r="B13" i="104" s="1"/>
  <c r="P22" i="86"/>
  <c r="B22" i="86" s="1"/>
  <c r="I129" i="103"/>
  <c r="I185" i="103"/>
  <c r="G185" i="91"/>
  <c r="G189" i="91" s="1"/>
  <c r="G129" i="91"/>
  <c r="P38" i="81"/>
  <c r="I96" i="103"/>
  <c r="J140" i="103"/>
  <c r="J201" i="103" s="1"/>
  <c r="G272" i="103" s="1"/>
  <c r="H104" i="81"/>
  <c r="I189" i="103" l="1"/>
  <c r="I246" i="103"/>
  <c r="I250" i="103" s="1"/>
  <c r="I140" i="103"/>
  <c r="I201" i="103" s="1"/>
  <c r="F272" i="103" s="1"/>
  <c r="H96" i="103"/>
  <c r="B43" i="81"/>
  <c r="P34" i="98"/>
  <c r="P31" i="98"/>
  <c r="F264" i="98"/>
  <c r="C264" i="98"/>
  <c r="C263" i="98"/>
  <c r="C262" i="98"/>
  <c r="B241" i="98"/>
  <c r="B240" i="98"/>
  <c r="B239" i="98"/>
  <c r="B236" i="98"/>
  <c r="B235" i="98"/>
  <c r="B234" i="98"/>
  <c r="B231" i="98"/>
  <c r="B230" i="98"/>
  <c r="B229" i="98"/>
  <c r="B226" i="98"/>
  <c r="B225" i="98"/>
  <c r="B224" i="98"/>
  <c r="B221" i="98"/>
  <c r="B220" i="98"/>
  <c r="B219" i="98"/>
  <c r="B216" i="98"/>
  <c r="B215" i="98"/>
  <c r="B214" i="98"/>
  <c r="B211" i="98"/>
  <c r="B210" i="98"/>
  <c r="B209" i="98"/>
  <c r="B206" i="98"/>
  <c r="B205" i="98"/>
  <c r="B251" i="98" s="1"/>
  <c r="B204" i="98"/>
  <c r="B247" i="98" s="1"/>
  <c r="B243" i="98"/>
  <c r="B165" i="98"/>
  <c r="B164" i="98"/>
  <c r="B163" i="98"/>
  <c r="B160" i="98"/>
  <c r="B159" i="98"/>
  <c r="B158" i="98"/>
  <c r="B155" i="98"/>
  <c r="B154" i="98"/>
  <c r="B153" i="98"/>
  <c r="B150" i="98"/>
  <c r="B149" i="98"/>
  <c r="B148" i="98"/>
  <c r="B145" i="98"/>
  <c r="B144" i="98"/>
  <c r="B190" i="98" s="1"/>
  <c r="B143" i="98"/>
  <c r="B186" i="98" s="1"/>
  <c r="B116" i="98"/>
  <c r="B115" i="98"/>
  <c r="B114" i="98"/>
  <c r="B112" i="98"/>
  <c r="B111" i="98"/>
  <c r="B110" i="98"/>
  <c r="B108" i="98"/>
  <c r="B107" i="98"/>
  <c r="B106" i="98"/>
  <c r="B104" i="98"/>
  <c r="B103" i="98"/>
  <c r="B102" i="98"/>
  <c r="G96" i="103" l="1"/>
  <c r="H140" i="103"/>
  <c r="H201" i="103" s="1"/>
  <c r="E272" i="103" s="1"/>
  <c r="F96" i="103" l="1"/>
  <c r="G140" i="103"/>
  <c r="G201" i="103" s="1"/>
  <c r="F100" i="91"/>
  <c r="G100" i="91"/>
  <c r="H100" i="91"/>
  <c r="I100" i="91"/>
  <c r="J100" i="91"/>
  <c r="K100" i="91"/>
  <c r="L100" i="91"/>
  <c r="E100" i="91"/>
  <c r="B23" i="91"/>
  <c r="P35" i="86"/>
  <c r="P306" i="83"/>
  <c r="O32" i="82"/>
  <c r="P32" i="82"/>
  <c r="P28" i="82"/>
  <c r="O28" i="82"/>
  <c r="B12" i="90"/>
  <c r="D274" i="98"/>
  <c r="D278" i="98" s="1"/>
  <c r="B274" i="98"/>
  <c r="D273" i="98"/>
  <c r="D277" i="98" s="1"/>
  <c r="L100" i="98"/>
  <c r="K100" i="98"/>
  <c r="J100" i="98"/>
  <c r="I100" i="98"/>
  <c r="H100" i="98"/>
  <c r="G100" i="98"/>
  <c r="F100" i="98"/>
  <c r="E100" i="98"/>
  <c r="B100" i="98"/>
  <c r="B99" i="98"/>
  <c r="B98" i="98"/>
  <c r="L96" i="98"/>
  <c r="I125" i="98" s="1"/>
  <c r="K33" i="98"/>
  <c r="J33" i="98"/>
  <c r="I33" i="98"/>
  <c r="G33" i="98"/>
  <c r="B30" i="98"/>
  <c r="D29" i="98"/>
  <c r="D33" i="98" s="1"/>
  <c r="D36" i="98" s="1"/>
  <c r="D39" i="98" s="1"/>
  <c r="D27" i="98"/>
  <c r="D31" i="98" s="1"/>
  <c r="B27" i="98"/>
  <c r="B26" i="98"/>
  <c r="K25" i="98"/>
  <c r="J25" i="98"/>
  <c r="J41" i="98" s="1"/>
  <c r="J57" i="98" s="1"/>
  <c r="J73" i="98" s="1"/>
  <c r="G25" i="98"/>
  <c r="G41" i="98" s="1"/>
  <c r="G57" i="98" s="1"/>
  <c r="G73" i="98" s="1"/>
  <c r="B130" i="83"/>
  <c r="B129" i="83"/>
  <c r="B128" i="83"/>
  <c r="J43" i="83"/>
  <c r="G43" i="83"/>
  <c r="E43" i="83"/>
  <c r="C43" i="83"/>
  <c r="I129" i="98" l="1"/>
  <c r="K41" i="98"/>
  <c r="K57" i="98" s="1"/>
  <c r="K73" i="98" s="1"/>
  <c r="D34" i="98"/>
  <c r="D37" i="98" s="1"/>
  <c r="B126" i="98"/>
  <c r="F140" i="103"/>
  <c r="F201" i="103" s="1"/>
  <c r="E96" i="103"/>
  <c r="E140" i="103" s="1"/>
  <c r="E201" i="103" s="1"/>
  <c r="B262" i="98"/>
  <c r="B273" i="98"/>
  <c r="B277" i="98" s="1"/>
  <c r="H25" i="98"/>
  <c r="H41" i="98" s="1"/>
  <c r="H57" i="98" s="1"/>
  <c r="H73" i="98" s="1"/>
  <c r="K96" i="98"/>
  <c r="J96" i="98" s="1"/>
  <c r="I96" i="98" s="1"/>
  <c r="H96" i="98" s="1"/>
  <c r="G96" i="98" s="1"/>
  <c r="F96" i="98" s="1"/>
  <c r="E96" i="98" s="1"/>
  <c r="E140" i="98" s="1"/>
  <c r="E201" i="98" s="1"/>
  <c r="B32" i="82"/>
  <c r="L140" i="98"/>
  <c r="I185" i="98" l="1"/>
  <c r="I246" i="98" s="1"/>
  <c r="L201" i="98"/>
  <c r="I272" i="98" s="1"/>
  <c r="G140" i="98"/>
  <c r="G201" i="98" s="1"/>
  <c r="K140" i="98"/>
  <c r="K201" i="98" s="1"/>
  <c r="H272" i="98" s="1"/>
  <c r="I25" i="98"/>
  <c r="I41" i="98" s="1"/>
  <c r="I57" i="98" s="1"/>
  <c r="I73" i="98" s="1"/>
  <c r="F140" i="98"/>
  <c r="F201" i="98" s="1"/>
  <c r="I140" i="98"/>
  <c r="I201" i="98" s="1"/>
  <c r="F272" i="98" s="1"/>
  <c r="H140" i="98"/>
  <c r="H201" i="98" s="1"/>
  <c r="E272" i="98" s="1"/>
  <c r="J140" i="98"/>
  <c r="J201" i="98" s="1"/>
  <c r="G272" i="98" s="1"/>
  <c r="I189" i="98" l="1"/>
  <c r="I250" i="98"/>
  <c r="K27" i="92"/>
  <c r="K26" i="92"/>
  <c r="K42" i="92" s="1"/>
  <c r="J27" i="92"/>
  <c r="J26" i="92"/>
  <c r="J42" i="92" s="1"/>
  <c r="K24" i="92"/>
  <c r="J24" i="92"/>
  <c r="K31" i="92"/>
  <c r="K34" i="92"/>
  <c r="P14" i="90"/>
  <c r="O14" i="90"/>
  <c r="J31" i="92"/>
  <c r="J34" i="92"/>
  <c r="K40" i="92" l="1"/>
  <c r="K62" i="92"/>
  <c r="J40" i="92"/>
  <c r="J62" i="92"/>
  <c r="J28" i="92"/>
  <c r="K28" i="92"/>
  <c r="K78" i="92" l="1"/>
  <c r="K100" i="92"/>
  <c r="K116" i="92"/>
  <c r="J100" i="92"/>
  <c r="J78" i="92"/>
  <c r="J116" i="92"/>
  <c r="B144" i="86"/>
  <c r="B130" i="86"/>
  <c r="I34" i="90" l="1"/>
  <c r="H34" i="90"/>
  <c r="I58" i="90" l="1"/>
  <c r="I46" i="90"/>
  <c r="H46" i="90"/>
  <c r="H58" i="90"/>
  <c r="K25" i="91"/>
  <c r="K41" i="91" s="1"/>
  <c r="K57" i="91" s="1"/>
  <c r="K73" i="91" s="1"/>
  <c r="J25" i="91"/>
  <c r="J41" i="91" s="1"/>
  <c r="J57" i="91" s="1"/>
  <c r="J73" i="91" s="1"/>
  <c r="B26" i="91"/>
  <c r="I54" i="86"/>
  <c r="H54" i="86"/>
  <c r="K103" i="86"/>
  <c r="J103" i="86"/>
  <c r="K110" i="86"/>
  <c r="J110" i="86"/>
  <c r="J121" i="81"/>
  <c r="O182" i="83"/>
  <c r="B288" i="98" l="1"/>
  <c r="B270" i="98"/>
  <c r="B259" i="98"/>
  <c r="B256" i="98"/>
  <c r="B198" i="98"/>
  <c r="B182" i="98"/>
  <c r="B237" i="98"/>
  <c r="B232" i="98"/>
  <c r="B227" i="98"/>
  <c r="B222" i="98"/>
  <c r="B217" i="98"/>
  <c r="B212" i="98"/>
  <c r="B207" i="98"/>
  <c r="B202" i="98"/>
  <c r="B138" i="98"/>
  <c r="B122" i="98"/>
  <c r="P113" i="98"/>
  <c r="O113" i="98"/>
  <c r="P109" i="98"/>
  <c r="O109" i="98"/>
  <c r="P105" i="98"/>
  <c r="O105" i="98"/>
  <c r="P101" i="98"/>
  <c r="O101" i="98"/>
  <c r="P97" i="98"/>
  <c r="O97" i="98"/>
  <c r="B93" i="98"/>
  <c r="O34" i="98"/>
  <c r="O31" i="98"/>
  <c r="B31" i="98" s="1"/>
  <c r="B22" i="98"/>
  <c r="B85" i="86"/>
  <c r="B71" i="86"/>
  <c r="B97" i="98" l="1"/>
  <c r="B113" i="98"/>
  <c r="B109" i="98"/>
  <c r="B105" i="98"/>
  <c r="B101" i="98"/>
  <c r="B237" i="91"/>
  <c r="B232" i="91"/>
  <c r="B34" i="98"/>
  <c r="K43" i="92" l="1"/>
  <c r="O150" i="92" l="1"/>
  <c r="O136" i="92"/>
  <c r="O354" i="83"/>
  <c r="O306" i="83"/>
  <c r="B306" i="83" s="1"/>
  <c r="O266" i="83"/>
  <c r="O196" i="83"/>
  <c r="O132" i="83"/>
  <c r="O68" i="83"/>
  <c r="P150" i="92"/>
  <c r="P136" i="92"/>
  <c r="P354" i="83"/>
  <c r="P339" i="83"/>
  <c r="P326" i="83"/>
  <c r="P266" i="83"/>
  <c r="P196" i="83"/>
  <c r="P132" i="83"/>
  <c r="P97" i="83"/>
  <c r="J43" i="92" l="1"/>
  <c r="G34" i="92" l="1"/>
  <c r="H31" i="92"/>
  <c r="G31" i="92"/>
  <c r="I27" i="92"/>
  <c r="H27" i="92"/>
  <c r="I26" i="92"/>
  <c r="I42" i="92" s="1"/>
  <c r="H26" i="92"/>
  <c r="H42" i="92" s="1"/>
  <c r="F264" i="91"/>
  <c r="H28" i="92" l="1"/>
  <c r="I28" i="92"/>
  <c r="B121" i="81" l="1"/>
  <c r="E121" i="81"/>
  <c r="B227" i="91" l="1"/>
  <c r="B288" i="91"/>
  <c r="B262" i="91" l="1"/>
  <c r="B273" i="91" s="1"/>
  <c r="B277" i="91" s="1"/>
  <c r="B259" i="91"/>
  <c r="B274" i="91"/>
  <c r="B270" i="91"/>
  <c r="B267" i="91"/>
  <c r="B243" i="91"/>
  <c r="B198" i="91"/>
  <c r="B94" i="105" l="1"/>
  <c r="B199" i="106"/>
  <c r="B199" i="105"/>
  <c r="B94" i="106"/>
  <c r="B199" i="103"/>
  <c r="B101" i="86"/>
  <c r="B117" i="86"/>
  <c r="B94" i="103"/>
  <c r="B38" i="86"/>
  <c r="B199" i="98"/>
  <c r="B94" i="98"/>
  <c r="B94" i="91"/>
  <c r="B199" i="91"/>
  <c r="B52" i="86"/>
  <c r="B122" i="91"/>
  <c r="B168" i="83"/>
  <c r="D47" i="82" l="1"/>
  <c r="B47" i="82"/>
  <c r="D43" i="82"/>
  <c r="B43" i="82"/>
  <c r="D50" i="82"/>
  <c r="B50" i="82"/>
  <c r="B39" i="82"/>
  <c r="L96" i="91" l="1"/>
  <c r="I125" i="91" s="1"/>
  <c r="I129" i="91" l="1"/>
  <c r="I185" i="91"/>
  <c r="I189" i="91" s="1"/>
  <c r="K96" i="91"/>
  <c r="J96" i="91" s="1"/>
  <c r="I96" i="91" s="1"/>
  <c r="H96" i="91" s="1"/>
  <c r="G96" i="91" s="1"/>
  <c r="F96" i="91" s="1"/>
  <c r="P116" i="86"/>
  <c r="L140" i="91"/>
  <c r="B150" i="83"/>
  <c r="B147" i="83"/>
  <c r="I246" i="91" l="1"/>
  <c r="I250" i="91" s="1"/>
  <c r="J140" i="91"/>
  <c r="J201" i="91" s="1"/>
  <c r="G272" i="91" s="1"/>
  <c r="I140" i="91"/>
  <c r="I201" i="91" s="1"/>
  <c r="F272" i="91" s="1"/>
  <c r="H140" i="91"/>
  <c r="H201" i="91" s="1"/>
  <c r="E272" i="91" s="1"/>
  <c r="G140" i="91"/>
  <c r="G201" i="91" s="1"/>
  <c r="K140" i="91"/>
  <c r="K201" i="91" s="1"/>
  <c r="H272" i="91" s="1"/>
  <c r="E96" i="91"/>
  <c r="O116" i="86" s="1"/>
  <c r="F140" i="91"/>
  <c r="F201" i="91" s="1"/>
  <c r="L201" i="91"/>
  <c r="I272" i="91" s="1"/>
  <c r="P114" i="91"/>
  <c r="O114" i="91"/>
  <c r="P110" i="91"/>
  <c r="O110" i="91"/>
  <c r="P106" i="91"/>
  <c r="O106" i="91"/>
  <c r="P102" i="91"/>
  <c r="O102" i="91"/>
  <c r="P98" i="91"/>
  <c r="O98" i="91"/>
  <c r="E140" i="91" l="1"/>
  <c r="E201" i="91" s="1"/>
  <c r="B22" i="91" l="1"/>
  <c r="B164" i="92" l="1"/>
  <c r="B150" i="92"/>
  <c r="B136" i="92"/>
  <c r="B47" i="92"/>
  <c r="E43" i="92"/>
  <c r="B43" i="92"/>
  <c r="E42" i="92"/>
  <c r="B38" i="92"/>
  <c r="I34" i="92"/>
  <c r="H34" i="92"/>
  <c r="D34" i="92"/>
  <c r="D32" i="92"/>
  <c r="B32" i="92"/>
  <c r="B42" i="92" s="1"/>
  <c r="I31" i="92"/>
  <c r="D31" i="92"/>
  <c r="D29" i="92"/>
  <c r="B29" i="92"/>
  <c r="D44" i="90" s="1"/>
  <c r="D56" i="90" s="1"/>
  <c r="D68" i="90" s="1"/>
  <c r="D28" i="92"/>
  <c r="D26" i="92"/>
  <c r="G24" i="92"/>
  <c r="B22" i="92"/>
  <c r="B182" i="91"/>
  <c r="B138" i="91"/>
  <c r="B113" i="91"/>
  <c r="O106" i="113" s="1"/>
  <c r="O112" i="113" s="1"/>
  <c r="O118" i="113" s="1"/>
  <c r="O124" i="113" s="1"/>
  <c r="O130" i="113" s="1"/>
  <c r="B109" i="91"/>
  <c r="O105" i="113" s="1"/>
  <c r="O111" i="113" s="1"/>
  <c r="O117" i="113" s="1"/>
  <c r="O123" i="113" s="1"/>
  <c r="O129" i="113" s="1"/>
  <c r="B105" i="91"/>
  <c r="O104" i="113" s="1"/>
  <c r="O110" i="113" s="1"/>
  <c r="O116" i="113" s="1"/>
  <c r="O122" i="113" s="1"/>
  <c r="O128" i="113" s="1"/>
  <c r="B101" i="91"/>
  <c r="O103" i="113" s="1"/>
  <c r="O109" i="113" s="1"/>
  <c r="O115" i="113" s="1"/>
  <c r="O121" i="113" s="1"/>
  <c r="O127" i="113" s="1"/>
  <c r="B97" i="91"/>
  <c r="O102" i="113" s="1"/>
  <c r="O108" i="113" s="1"/>
  <c r="O114" i="113" s="1"/>
  <c r="O120" i="113" s="1"/>
  <c r="O126" i="113" s="1"/>
  <c r="B93" i="91"/>
  <c r="P34" i="91"/>
  <c r="O34" i="91"/>
  <c r="P31" i="91"/>
  <c r="O31" i="91"/>
  <c r="B30" i="91"/>
  <c r="D29" i="91"/>
  <c r="D27" i="91"/>
  <c r="B27" i="91"/>
  <c r="G25" i="91"/>
  <c r="G41" i="91" s="1"/>
  <c r="G57" i="91" s="1"/>
  <c r="G73" i="91" s="1"/>
  <c r="B17" i="91"/>
  <c r="B17" i="103" s="1"/>
  <c r="B168" i="91" l="1"/>
  <c r="B173" i="91"/>
  <c r="B178" i="91"/>
  <c r="B170" i="91"/>
  <c r="B175" i="91"/>
  <c r="B180" i="91"/>
  <c r="H24" i="92"/>
  <c r="G40" i="92"/>
  <c r="G62" i="92"/>
  <c r="D31" i="91"/>
  <c r="B118" i="91" s="1"/>
  <c r="B143" i="91"/>
  <c r="B186" i="91" s="1"/>
  <c r="B153" i="91"/>
  <c r="B158" i="91"/>
  <c r="B148" i="91"/>
  <c r="C262" i="91"/>
  <c r="B163" i="91"/>
  <c r="D33" i="91"/>
  <c r="B120" i="91" s="1"/>
  <c r="B155" i="91"/>
  <c r="B165" i="91"/>
  <c r="C264" i="91"/>
  <c r="B150" i="91"/>
  <c r="B160" i="91"/>
  <c r="B145" i="91"/>
  <c r="B17" i="92"/>
  <c r="B17" i="98"/>
  <c r="B222" i="91"/>
  <c r="B217" i="91"/>
  <c r="B207" i="91"/>
  <c r="B212" i="91"/>
  <c r="B34" i="91"/>
  <c r="D43" i="90" s="1"/>
  <c r="D55" i="90" s="1"/>
  <c r="D67" i="90" s="1"/>
  <c r="B31" i="91"/>
  <c r="D42" i="90" s="1"/>
  <c r="D54" i="90" s="1"/>
  <c r="D66" i="90" s="1"/>
  <c r="B202" i="91"/>
  <c r="H43" i="92"/>
  <c r="I43" i="92"/>
  <c r="H25" i="91"/>
  <c r="H41" i="91" s="1"/>
  <c r="H57" i="91" s="1"/>
  <c r="H73" i="91" s="1"/>
  <c r="B35" i="86"/>
  <c r="G100" i="92" l="1"/>
  <c r="G78" i="92"/>
  <c r="G116" i="92"/>
  <c r="I24" i="92"/>
  <c r="H40" i="92"/>
  <c r="H62" i="92"/>
  <c r="D36" i="91"/>
  <c r="D39" i="91" s="1"/>
  <c r="B241" i="91"/>
  <c r="B226" i="91"/>
  <c r="B211" i="91"/>
  <c r="B108" i="91"/>
  <c r="B236" i="91"/>
  <c r="B100" i="91"/>
  <c r="B221" i="91"/>
  <c r="B116" i="91"/>
  <c r="B231" i="91"/>
  <c r="B216" i="91"/>
  <c r="B112" i="91"/>
  <c r="B206" i="91"/>
  <c r="B104" i="91"/>
  <c r="D274" i="91"/>
  <c r="D278" i="91" s="1"/>
  <c r="D273" i="91"/>
  <c r="D277" i="91" s="1"/>
  <c r="D34" i="91"/>
  <c r="D37" i="91" s="1"/>
  <c r="B229" i="91"/>
  <c r="B214" i="91"/>
  <c r="B110" i="91"/>
  <c r="B239" i="91"/>
  <c r="B98" i="91"/>
  <c r="B224" i="91"/>
  <c r="B126" i="91"/>
  <c r="B209" i="91"/>
  <c r="B106" i="91"/>
  <c r="B219" i="91"/>
  <c r="B114" i="91"/>
  <c r="B102" i="91"/>
  <c r="B234" i="91"/>
  <c r="B204" i="91"/>
  <c r="B247" i="91" s="1"/>
  <c r="I25" i="91"/>
  <c r="I41" i="91" s="1"/>
  <c r="I57" i="91" s="1"/>
  <c r="I73" i="91" s="1"/>
  <c r="H100" i="92" l="1"/>
  <c r="H78" i="92"/>
  <c r="H116" i="92"/>
  <c r="I40" i="92"/>
  <c r="I62" i="92"/>
  <c r="G246" i="91"/>
  <c r="H246" i="91"/>
  <c r="H250" i="91" s="1"/>
  <c r="I100" i="92" l="1"/>
  <c r="I78" i="92"/>
  <c r="I116" i="92"/>
  <c r="G250" i="91"/>
  <c r="B132" i="83"/>
  <c r="B126" i="83"/>
  <c r="B97" i="83"/>
  <c r="E34" i="90" l="1"/>
  <c r="B31" i="90"/>
  <c r="B16" i="90"/>
  <c r="G15" i="90"/>
  <c r="F15" i="90"/>
  <c r="E15" i="90"/>
  <c r="D15" i="90"/>
  <c r="C15" i="90"/>
  <c r="B15" i="90"/>
  <c r="B123" i="86"/>
  <c r="B122" i="86"/>
  <c r="B121" i="86"/>
  <c r="B120" i="86"/>
  <c r="B119" i="86"/>
  <c r="B116" i="86"/>
  <c r="B113" i="86"/>
  <c r="I110" i="86"/>
  <c r="H110" i="86"/>
  <c r="G110" i="86"/>
  <c r="B110" i="86"/>
  <c r="B109" i="86"/>
  <c r="B108" i="86"/>
  <c r="B107" i="86"/>
  <c r="B106" i="86"/>
  <c r="B105" i="86"/>
  <c r="G103" i="86"/>
  <c r="B100" i="86"/>
  <c r="B97" i="86"/>
  <c r="B58" i="86"/>
  <c r="B56" i="86"/>
  <c r="E54" i="86"/>
  <c r="B51" i="86"/>
  <c r="B21" i="86"/>
  <c r="B18" i="86"/>
  <c r="B16" i="86"/>
  <c r="B15" i="86"/>
  <c r="B14" i="86"/>
  <c r="B13" i="86"/>
  <c r="B12" i="86"/>
  <c r="P10" i="86"/>
  <c r="B10" i="86" s="1"/>
  <c r="B13" i="84"/>
  <c r="B10" i="84"/>
  <c r="B10" i="89" s="1"/>
  <c r="B8" i="84"/>
  <c r="B368" i="83"/>
  <c r="B354" i="83"/>
  <c r="B339" i="83"/>
  <c r="B326" i="83"/>
  <c r="B324" i="83"/>
  <c r="B323" i="83"/>
  <c r="B322" i="83"/>
  <c r="B320" i="83"/>
  <c r="B292" i="83"/>
  <c r="B279" i="83"/>
  <c r="B266" i="83"/>
  <c r="B250" i="83"/>
  <c r="B237" i="83"/>
  <c r="B224" i="83"/>
  <c r="B211" i="83"/>
  <c r="B209" i="83"/>
  <c r="B196" i="83"/>
  <c r="B182" i="83"/>
  <c r="B113" i="83"/>
  <c r="B83" i="83"/>
  <c r="B68" i="83"/>
  <c r="B39" i="83"/>
  <c r="B26" i="83"/>
  <c r="B10" i="83"/>
  <c r="B9" i="83"/>
  <c r="B8" i="83"/>
  <c r="B26" i="82"/>
  <c r="L24" i="82"/>
  <c r="K24" i="82"/>
  <c r="J24" i="82"/>
  <c r="I24" i="82"/>
  <c r="H24" i="82"/>
  <c r="G24" i="82"/>
  <c r="F24" i="82"/>
  <c r="E24" i="82"/>
  <c r="D24" i="82"/>
  <c r="B24" i="82"/>
  <c r="L19" i="82"/>
  <c r="K19" i="82"/>
  <c r="J19" i="82"/>
  <c r="I19" i="82"/>
  <c r="H19" i="82"/>
  <c r="G19" i="82"/>
  <c r="F19" i="82"/>
  <c r="E19" i="82"/>
  <c r="D19" i="82"/>
  <c r="B19" i="82"/>
  <c r="B15" i="82"/>
  <c r="B12" i="82"/>
  <c r="B10" i="82"/>
  <c r="L8" i="82"/>
  <c r="K8" i="82"/>
  <c r="J8" i="82"/>
  <c r="I8" i="82"/>
  <c r="H8" i="82"/>
  <c r="G8" i="82"/>
  <c r="F8" i="82"/>
  <c r="E8" i="82"/>
  <c r="D8" i="82"/>
  <c r="B8" i="82"/>
  <c r="J120" i="81"/>
  <c r="E120" i="81"/>
  <c r="B120" i="81"/>
  <c r="B118" i="81"/>
  <c r="L116" i="81"/>
  <c r="K116" i="81"/>
  <c r="J116" i="81"/>
  <c r="I116" i="81"/>
  <c r="H116" i="81"/>
  <c r="F116" i="81"/>
  <c r="E116" i="81"/>
  <c r="D116" i="81"/>
  <c r="C116" i="81"/>
  <c r="B111" i="81"/>
  <c r="B113" i="81"/>
  <c r="B110" i="81"/>
  <c r="B109" i="81"/>
  <c r="L107" i="81"/>
  <c r="K107" i="81"/>
  <c r="J107" i="81"/>
  <c r="I107" i="81"/>
  <c r="H107" i="81"/>
  <c r="F107" i="81"/>
  <c r="E107" i="81"/>
  <c r="D107" i="81"/>
  <c r="C107" i="81"/>
  <c r="B99" i="81"/>
  <c r="B97" i="81"/>
  <c r="B95" i="81"/>
  <c r="B93" i="81"/>
  <c r="B91" i="81"/>
  <c r="B77" i="81"/>
  <c r="B76" i="81"/>
  <c r="B73" i="81"/>
  <c r="B71" i="81"/>
  <c r="B69" i="81"/>
  <c r="B63" i="81"/>
  <c r="L61" i="81"/>
  <c r="K61" i="81"/>
  <c r="J61" i="81"/>
  <c r="I61" i="81"/>
  <c r="H61" i="81"/>
  <c r="F61" i="81"/>
  <c r="E61" i="81"/>
  <c r="D61" i="81"/>
  <c r="C61" i="81"/>
  <c r="P57" i="81"/>
  <c r="O57" i="81"/>
  <c r="L55" i="81"/>
  <c r="K55" i="81"/>
  <c r="J55" i="81"/>
  <c r="I55" i="81"/>
  <c r="H55" i="81"/>
  <c r="F55" i="81"/>
  <c r="E55" i="81"/>
  <c r="D55" i="81"/>
  <c r="C55" i="81"/>
  <c r="B55" i="81"/>
  <c r="B38" i="81"/>
  <c r="B40" i="81"/>
  <c r="B33" i="81"/>
  <c r="B26" i="81"/>
  <c r="L24" i="81"/>
  <c r="K24" i="81"/>
  <c r="J24" i="81"/>
  <c r="I24" i="81"/>
  <c r="H24" i="81"/>
  <c r="F24" i="81"/>
  <c r="E24" i="81"/>
  <c r="D24" i="81"/>
  <c r="C24" i="81"/>
  <c r="B16" i="103" l="1"/>
  <c r="B16" i="106"/>
  <c r="B16" i="105"/>
  <c r="B8" i="105"/>
  <c r="B8" i="106"/>
  <c r="B9" i="105"/>
  <c r="B9" i="106"/>
  <c r="B15" i="103"/>
  <c r="B15" i="106"/>
  <c r="B15" i="105"/>
  <c r="B12" i="103"/>
  <c r="B12" i="106"/>
  <c r="B12" i="105"/>
  <c r="B13" i="103"/>
  <c r="B13" i="105"/>
  <c r="B13" i="106"/>
  <c r="B14" i="103"/>
  <c r="B14" i="106"/>
  <c r="B14" i="105"/>
  <c r="E46" i="90"/>
  <c r="E58" i="90"/>
  <c r="B8" i="103"/>
  <c r="B8" i="104"/>
  <c r="B9" i="103"/>
  <c r="B9" i="104"/>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57" i="81"/>
  <c r="B14" i="90"/>
  <c r="B5" i="82"/>
  <c r="C16" i="90"/>
  <c r="G16" i="90"/>
  <c r="F16" i="90"/>
  <c r="E16" i="90"/>
  <c r="D16" i="90"/>
  <c r="F54" i="86"/>
  <c r="G54" i="86" s="1"/>
  <c r="H103" i="86"/>
  <c r="I103" i="86" s="1"/>
  <c r="F34" i="90"/>
  <c r="G34" i="90" l="1"/>
  <c r="F46" i="90"/>
  <c r="F58" i="90"/>
  <c r="B5" i="104"/>
  <c r="B5" i="106"/>
  <c r="B5" i="105"/>
  <c r="B5" i="90"/>
  <c r="B5" i="83"/>
  <c r="B5" i="84"/>
  <c r="B5" i="98"/>
  <c r="B5" i="86"/>
  <c r="B5" i="91"/>
  <c r="B5" i="103"/>
  <c r="B5" i="92"/>
  <c r="B5" i="89"/>
  <c r="G46" i="90" l="1"/>
  <c r="G58"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D717962A-D7A8-4C00-8763-CDE397445B30}">
      <text>
        <r>
          <rPr>
            <b/>
            <sz val="9"/>
            <color indexed="81"/>
            <rFont val="Tahoma"/>
            <family val="2"/>
          </rPr>
          <t>Link to specific CBSA SOR or MIF page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tc={4B21D2FF-E60B-44F2-AA37-5F135CD8D0FB}</author>
    <author>tc={09EAEC5B-574A-406C-B367-612E97485F38}</author>
    <author>tc={BA8EA4C3-5B75-448A-B333-0D9D667CC70C}</author>
  </authors>
  <commentList>
    <comment ref="H6" authorId="0" shapeId="0" xr:uid="{4B21D2FF-E60B-44F2-AA37-5F135CD8D0FB}">
      <text>
        <t>[Threaded comment]
Your version of Excel allows you to read this threaded comment; however, any edits to it will get removed if the file is opened in a newer version of Excel. Learn more: https://go.microsoft.com/fwlink/?linkid=870924
Comment:
    Link</t>
      </text>
    </comment>
    <comment ref="X16" authorId="1" shapeId="0" xr:uid="{09EAEC5B-574A-406C-B367-612E97485F38}">
      <text>
        <t xml:space="preserve">[Threaded comment]
Your version of Excel allows you to read this threaded comment; however, any edits to it will get removed if the file is opened in a newer version of Excel. Learn more: https://go.microsoft.com/fwlink/?linkid=870924
Comment:
    Divide by 1000
</t>
      </text>
    </comment>
    <comment ref="M22" authorId="2" shapeId="0" xr:uid="{BA8EA4C3-5B75-448A-B333-0D9D667CC70C}">
      <text>
        <t>[Threaded comment]
Your version of Excel allows you to read this threaded comment; however, any edits to it will get removed if the file is opened in a newer version of Excel. Learn more: https://go.microsoft.com/fwlink/?linkid=870924
Comment:
    Link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tc={32958E7C-C115-44D2-8ECA-B8DB96EAAE61}</author>
  </authors>
  <commentList>
    <comment ref="O1" authorId="0" shapeId="0" xr:uid="{32958E7C-C115-44D2-8ECA-B8DB96EAAE61}">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tc={B1293736-1A6A-40D1-B6D4-834EAC7DA22A}</author>
  </authors>
  <commentList>
    <comment ref="D77" authorId="0" shapeId="0" xr:uid="{B1293736-1A6A-40D1-B6D4-834EAC7DA22A}">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tc={61643D3D-3FFA-4132-BEEF-11C5D2581BD9}</author>
  </authors>
  <commentList>
    <comment ref="D77" authorId="0" shapeId="0" xr:uid="{61643D3D-3FFA-4132-BEEF-11C5D2581BD9}">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tc={94748C51-24BE-4D71-8B9C-74D9DF50B663}</author>
  </authors>
  <commentList>
    <comment ref="D77" authorId="0" shapeId="0" xr:uid="{94748C51-24BE-4D71-8B9C-74D9DF50B663}">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tc={973498C4-5CA3-42CD-A0C4-A1C67CE61420}</author>
  </authors>
  <commentList>
    <comment ref="D77" authorId="0" shapeId="0" xr:uid="{973498C4-5CA3-42CD-A0C4-A1C67CE61420}">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tc={AA678BA7-6741-41A4-A1FD-BC9F2E87422A}</author>
  </authors>
  <commentList>
    <comment ref="D77" authorId="0" shapeId="0" xr:uid="{AA678BA7-6741-41A4-A1FD-BC9F2E87422A}">
      <text>
        <t>[Threaded comment]
Your version of Excel allows you to read this threaded comment; however, any edits to it will get removed if the file is opened in a newer version of Excel. Learn more: https://go.microsoft.com/fwlink/?linkid=870924
Comment:
    Adjust decimal points as appropriate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tc={C0327A1E-982E-4EBB-A2A7-A919591BE5E8}</author>
    <author>tc={A294C30A-770F-405C-940F-68801806AF56}</author>
    <author>tc={393F84EE-63F2-440B-8EC9-0F5FF2CDEDEE}</author>
    <author>tc={A3D1795D-1689-43D1-8A10-E66F2F03EFF8}</author>
    <author>tc={D69CEB06-077E-4B19-A16A-5A1877E6D7EF}</author>
    <author>tc={7C31AAFF-A775-4DBF-BFDC-1B57B1B3A45A}</author>
    <author>tc={D3A708AD-F56D-43B2-A90B-1F79B25C96A6}</author>
  </authors>
  <commentList>
    <comment ref="C2" authorId="0" shapeId="0" xr:uid="{C0327A1E-982E-4EBB-A2A7-A919591BE5E8}">
      <text>
        <t>[Threaded comment]
Your version of Excel allows you to read this threaded comment; however, any edits to it will get removed if the file is opened in a newer version of Excel. Learn more: https://go.microsoft.com/fwlink/?linkid=870924
Comment:
    Note
Reply:
    Noted</t>
      </text>
    </comment>
    <comment ref="H6" authorId="1" shapeId="0" xr:uid="{A294C30A-770F-405C-940F-68801806AF56}">
      <text>
        <t>[Threaded comment]
Your version of Excel allows you to read this threaded comment; however, any edits to it will get removed if the file is opened in a newer version of Excel. Learn more: https://go.microsoft.com/fwlink/?linkid=870924
Comment:
    Link Trade levels</t>
      </text>
    </comment>
    <comment ref="X16" authorId="2" shapeId="0" xr:uid="{393F84EE-63F2-440B-8EC9-0F5FF2CDEDEE}">
      <text>
        <t>[Threaded comment]
Your version of Excel allows you to read this threaded comment; however, any edits to it will get removed if the file is opened in a newer version of Excel. Learn more: https://go.microsoft.com/fwlink/?linkid=870924
Comment:
    Divide these all by 1000</t>
      </text>
    </comment>
    <comment ref="M22" authorId="3" shapeId="0" xr:uid="{A3D1795D-1689-43D1-8A10-E66F2F03EFF8}">
      <text>
        <t>[Threaded comment]
Your version of Excel allows you to read this threaded comment; however, any edits to it will get removed if the file is opened in a newer version of Excel. Learn more: https://go.microsoft.com/fwlink/?linkid=870924
Comment:
    Link Other Countries</t>
      </text>
    </comment>
    <comment ref="K69" authorId="4" shapeId="0" xr:uid="{D69CEB06-077E-4B19-A16A-5A1877E6D7EF}">
      <text>
        <t>[Threaded comment]
Your version of Excel allows you to read this threaded comment; however, any edits to it will get removed if the file is opened in a newer version of Excel. Learn more: https://go.microsoft.com/fwlink/?linkid=870924
Comment:
    Change to 2-Non-Subject</t>
      </text>
    </comment>
    <comment ref="L69" authorId="5" shapeId="0" xr:uid="{7C31AAFF-A775-4DBF-BFDC-1B57B1B3A45A}">
      <text>
        <t>[Threaded comment]
Your version of Excel allows you to read this threaded comment; however, any edits to it will get removed if the file is opened in a newer version of Excel. Learn more: https://go.microsoft.com/fwlink/?linkid=870924
Comment:
    Should be Other Countries, not mexico</t>
      </text>
    </comment>
    <comment ref="M69" authorId="6" shapeId="0" xr:uid="{D3A708AD-F56D-43B2-A90B-1F79B25C96A6}">
      <text>
        <t>[Threaded comment]
Your version of Excel allows you to read this threaded comment; however, any edits to it will get removed if the file is opened in a newer version of Excel. Learn more: https://go.microsoft.com/fwlink/?linkid=870924
Comment:
    Link other countries</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tc={3CFC542F-1E04-4D09-B6ED-50BDB930CD32}</author>
    <author>tc={A6820329-ED34-4424-8BC5-9B9C1604F85F}</author>
    <author>tc={60124BC7-2FAA-4395-B91D-CAB51CC2CE92}</author>
  </authors>
  <commentList>
    <comment ref="H6" authorId="0" shapeId="0" xr:uid="{3CFC542F-1E04-4D09-B6ED-50BDB930CD32}">
      <text>
        <t>[Threaded comment]
Your version of Excel allows you to read this threaded comment; however, any edits to it will get removed if the file is opened in a newer version of Excel. Learn more: https://go.microsoft.com/fwlink/?linkid=870924
Comment:
    Link Trade Levels</t>
      </text>
    </comment>
    <comment ref="X16" authorId="1" shapeId="0" xr:uid="{A6820329-ED34-4424-8BC5-9B9C1604F85F}">
      <text>
        <t xml:space="preserve">[Threaded comment]
Your version of Excel allows you to read this threaded comment; however, any edits to it will get removed if the file is opened in a newer version of Excel. Learn more: https://go.microsoft.com/fwlink/?linkid=870924
Comment:
    Divide these all by 1000
</t>
      </text>
    </comment>
    <comment ref="M22" authorId="2" shapeId="0" xr:uid="{60124BC7-2FAA-4395-B91D-CAB51CC2CE92}">
      <text>
        <t>[Threaded comment]
Your version of Excel allows you to read this threaded comment; however, any edits to it will get removed if the file is opened in a newer version of Excel. Learn more: https://go.microsoft.com/fwlink/?linkid=870924
Comment:
    Link</t>
      </text>
    </comment>
  </commentList>
</comments>
</file>

<file path=xl/sharedStrings.xml><?xml version="1.0" encoding="utf-8"?>
<sst xmlns="http://schemas.openxmlformats.org/spreadsheetml/2006/main" count="2636" uniqueCount="799">
  <si>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</si>
  <si>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</si>
  <si>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</si>
  <si>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</si>
  <si>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</si>
  <si>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</si>
  <si>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</si>
  <si>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</si>
  <si>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</si>
  <si>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</si>
  <si>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</si>
  <si>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</si>
  <si>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</si>
  <si>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</si>
  <si>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</si>
  <si>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</si>
  <si>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</si>
  <si>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</si>
  <si>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</si>
  <si>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</si>
  <si>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</si>
  <si>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</si>
  <si>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</si>
  <si>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</si>
  <si>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</si>
  <si>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</si>
  <si>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</si>
  <si>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</si>
  <si>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</si>
  <si>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</si>
  <si>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</si>
  <si>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</si>
  <si>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</si>
  <si>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</si>
  <si>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</si>
  <si>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</si>
  <si>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</si>
  <si>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</si>
  <si>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</si>
  <si>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</si>
  <si>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</si>
  <si>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</si>
  <si>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</si>
  <si>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</si>
  <si>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</si>
  <si>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</si>
  <si>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</si>
  <si>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</si>
  <si>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</si>
  <si>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</si>
  <si>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</si>
  <si>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</si>
  <si>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</si>
  <si>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</si>
  <si>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</si>
  <si>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</si>
  <si>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</si>
  <si>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</si>
  <si>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</si>
  <si>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</si>
  <si>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</si>
  <si>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</si>
  <si>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</si>
  <si>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</si>
  <si>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</si>
  <si>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</si>
  <si>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</si>
  <si>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</si>
  <si>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</si>
  <si>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</si>
  <si>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</si>
  <si>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</si>
  <si>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</si>
  <si>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</si>
  <si>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</si>
  <si>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</si>
  <si>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</si>
  <si>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</si>
  <si>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</si>
  <si>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</si>
  <si>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</si>
  <si>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</si>
  <si>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</si>
  <si>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</si>
  <si>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</si>
  <si>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</si>
  <si>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</si>
  <si>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</si>
  <si>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</si>
  <si>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</si>
  <si>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</si>
  <si>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</si>
  <si>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</si>
  <si>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</si>
  <si>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</si>
  <si>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</si>
  <si>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</si>
  <si>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</si>
  <si>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</si>
  <si>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</si>
  <si>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</si>
  <si>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</si>
  <si>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</si>
  <si>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</si>
  <si>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</si>
  <si>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</si>
  <si>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</si>
  <si>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</si>
  <si>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</si>
  <si>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</si>
  <si>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</si>
  <si>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</si>
  <si>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</si>
  <si>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</si>
  <si>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</si>
  <si>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</si>
  <si>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</si>
  <si>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</si>
  <si>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</si>
  <si>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</si>
  <si>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</si>
  <si>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</si>
  <si>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</si>
  <si>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</si>
  <si>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</si>
  <si>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</si>
  <si>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</si>
  <si>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</si>
  <si>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</si>
  <si>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</si>
  <si>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</si>
  <si>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</si>
  <si>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</si>
  <si>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</si>
  <si>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</si>
  <si>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</si>
  <si>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</si>
  <si>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</si>
  <si>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</si>
  <si>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</si>
  <si>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</si>
  <si>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</si>
  <si>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</si>
  <si>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</si>
  <si>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</si>
  <si>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</si>
  <si>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</si>
  <si>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</si>
  <si>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</si>
  <si>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Delivery Cost</t>
  </si>
  <si>
    <t>Coût de livraison</t>
  </si>
  <si>
    <t>Regional Sales</t>
  </si>
  <si>
    <t>Ventes régionales</t>
  </si>
  <si>
    <t>For additional details, view the Info tab.</t>
  </si>
  <si>
    <t>Pour plus de détails, consultez l'onglet Info.</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</si>
  <si>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</si>
  <si>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</si>
  <si>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</si>
  <si>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</si>
  <si>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</si>
  <si>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</si>
  <si>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</si>
  <si>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</si>
  <si>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</si>
  <si>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</si>
  <si>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</si>
  <si>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</si>
  <si>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</si>
  <si>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</si>
  <si>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</si>
  <si>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</si>
  <si>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</si>
  <si>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Déclarez le volume et la valeur des ventes d'importations au Canada pour chaque compte indiqué ci-dessous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</si>
  <si>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</si>
  <si>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</si>
  <si>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</si>
  <si>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</si>
  <si>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</si>
  <si>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</si>
  <si>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</si>
  <si>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</si>
  <si>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</si>
  <si>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</si>
  <si>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</si>
  <si>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</si>
  <si>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</si>
  <si>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</si>
  <si>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</si>
  <si>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</si>
  <si>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</si>
  <si>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</si>
  <si>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</si>
  <si>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</si>
  <si>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</si>
  <si>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</si>
  <si>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</si>
  <si>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</si>
  <si>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</si>
  <si>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 xml:space="preserve">Report the volume and value of imports during CBSA's period of dumping investigation : </t>
  </si>
  <si>
    <t>Indiquez le volume et la valeur des importations pendant la période d'enquête de dumping de l'ASFC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</si>
  <si>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</si>
  <si>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</si>
  <si>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</si>
  <si>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</si>
  <si>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</si>
  <si>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</si>
  <si>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</si>
  <si>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</si>
  <si>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</si>
  <si>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</si>
  <si>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</si>
  <si>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</si>
  <si>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 xml:space="preserve">Describe any factors (for example, shipping delays, seasonality, etc.) which would explain the overall trend in your firm's quarterly import volumes and ending inventories, as reported in Question 5. </t>
  </si>
  <si>
    <t>Décrivez tous les facteurs (par exemple, les retards d’expédition, la saisonnalité, etc.) qui pourraient expliquer la tendance générale des volumes d’importation trimestriels et des stocks finals de votre entreprise, comme indiqué dans la question 5.</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</si>
  <si>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</si>
  <si>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</si>
  <si>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</si>
  <si>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</si>
  <si>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</si>
  <si>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</si>
  <si>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</si>
  <si>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</si>
  <si>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</si>
  <si>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</si>
  <si>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</si>
  <si>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</si>
  <si>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</si>
  <si>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</si>
  <si>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Is there a different customer base in Canada for purchasing these goods?</t>
  </si>
  <si>
    <t>Existe-t-il une clientèle distincte au Canada pour l'achat de ces marchandises?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</si>
  <si>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</si>
  <si>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</si>
  <si>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</si>
  <si>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</si>
  <si>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</si>
  <si>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</si>
  <si>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</si>
  <si>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</si>
  <si>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</si>
  <si>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</si>
  <si>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</si>
  <si>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</si>
  <si>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</si>
  <si>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BMP6</t>
  </si>
  <si>
    <t>BMP7</t>
  </si>
  <si>
    <t>BMP8</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</si>
  <si>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</si>
  <si>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</si>
  <si>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</si>
  <si>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</si>
  <si>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</si>
  <si>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</si>
  <si>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</si>
  <si>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</si>
  <si>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</si>
  <si>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</si>
  <si>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</si>
  <si>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</si>
  <si>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</si>
  <si>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</si>
  <si>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</si>
  <si>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</si>
  <si>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</si>
  <si>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</si>
  <si>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</si>
  <si>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</si>
  <si>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</si>
  <si>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</si>
  <si>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</si>
  <si>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</si>
  <si>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</si>
  <si>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</si>
  <si>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</si>
  <si>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</si>
  <si>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</si>
  <si>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</si>
  <si>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Describe the differences between the commercial and structural quality of the goods on both a price and cost basis. If available, please also provide the price lists to demonstrate these differences.</t>
  </si>
  <si>
    <t>Décrivez les différences entre la qualité commerciale et la qualité de construction des marchandises, tant en termes de prix que de coût. Si vous disposez des listes de prix, veuillez également les fournir de manière à illustrer ces différences.</t>
  </si>
  <si>
    <t>Provide your firm’s strategies and objectives for the next two years with respect to purchases of the goods made in Canada. Provide the rationale and assumptions underlying these strategies and objectives.</t>
  </si>
  <si>
    <t>Plans</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</si>
  <si>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</si>
  <si>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</si>
  <si>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Related firms</t>
  </si>
  <si>
    <t>Entreprises affiliées</t>
  </si>
  <si>
    <t xml:space="preserve">Provide your firm's imports and sales of imports of the goods from: </t>
  </si>
  <si>
    <t xml:space="preserve">Indiquez les importations et les ventes de marchandises de votre entreprise de : </t>
  </si>
  <si>
    <t xml:space="preserve">Other countries include: </t>
  </si>
  <si>
    <t xml:space="preserve">Autres pays incluent : </t>
  </si>
  <si>
    <t>Additional Product Info</t>
  </si>
  <si>
    <t>Analyst 1</t>
  </si>
  <si>
    <t>Analyst 2</t>
  </si>
  <si>
    <t>Unit of measure (plural)</t>
  </si>
  <si>
    <t>tonnes</t>
  </si>
  <si>
    <t>Unit of measure (singular)</t>
  </si>
  <si>
    <t>tonne</t>
  </si>
  <si>
    <t>end users</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</si>
  <si>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</si>
  <si>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</si>
  <si>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</si>
  <si>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</si>
  <si>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</si>
  <si>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</si>
  <si>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</si>
  <si>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</si>
  <si>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</si>
  <si>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</si>
  <si>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</si>
  <si>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</si>
  <si>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</si>
  <si>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</si>
  <si>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</si>
  <si>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</si>
  <si>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</si>
  <si>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</si>
  <si>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</si>
  <si>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</si>
  <si>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</si>
  <si>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</si>
  <si>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</si>
  <si>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</si>
  <si>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</si>
  <si>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</si>
  <si>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</si>
  <si>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</si>
  <si>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</si>
  <si>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</si>
  <si>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</si>
  <si>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</si>
  <si>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</si>
  <si>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</si>
  <si>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</si>
  <si>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</si>
  <si>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</si>
  <si>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</si>
  <si>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SALES IN CANADA OF IMPORTS TO THE TOP FIVE ACCOUNTS</t>
  </si>
  <si>
    <t>SALES IN CANADA OF IMPORTS OF BENCHMARK PRODUCTS</t>
  </si>
  <si>
    <t>IMPORT DATA FOR CBSA PERIOD OF DUMPING INVESTIGATION</t>
  </si>
  <si>
    <t>DONNÉES SUR LES IMPORTATIONS POUR LA PÉRIODE D'ENQUÊTE ANTIDUMPING DE L'ASFC</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</si>
  <si>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</si>
  <si>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</si>
  <si>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</si>
  <si>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</si>
  <si>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</si>
  <si>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</si>
  <si>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</si>
  <si>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Total sales in Canada</t>
  </si>
  <si>
    <t>Ventes totales au Canada</t>
  </si>
  <si>
    <t>GENERAL</t>
  </si>
  <si>
    <t>GÉNÉRAL</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</si>
  <si>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</si>
  <si>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</si>
  <si>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</si>
  <si>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</si>
  <si>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</si>
  <si>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</si>
  <si>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</si>
  <si>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</si>
  <si>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</si>
  <si>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</si>
  <si>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</si>
  <si>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</si>
  <si>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</si>
  <si>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</si>
  <si>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</si>
  <si>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In the table below, “Error” means that the total sales to your firm’s top five accounts for that period exceed your firm’s total import sales for that period. Therefore, please modify the above data if necessary.</t>
  </si>
  <si>
    <t>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t>
  </si>
  <si>
    <t>In the table below, “Error” means that the total imports of your firm's benchmark products exceed your firm's total imports for that period. Therefore, please modify the above data if necessary.</t>
  </si>
  <si>
    <t>Dans le tableau ci-dessous, « Erreur » signifie que les importations totales des produits de référence de votre entreprise dépassent les importations totales de votre entreprise pour cette période. Par conséquent, veuillez modifier les données ci-dessus si nécessaire.</t>
  </si>
  <si>
    <t>In the table below, “Error” means that the total sales of your firm's benchmark products exceed your firm's total import sales for that period. Therefore, please modify the above data if necessary.</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</si>
  <si>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</si>
  <si>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</si>
  <si>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</si>
  <si>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</si>
  <si>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</si>
  <si>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</si>
  <si>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</si>
  <si>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</si>
  <si>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</si>
  <si>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</si>
  <si>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</si>
  <si>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</si>
  <si>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</si>
  <si>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</si>
  <si>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T1</t>
  </si>
  <si>
    <t>Other Countries</t>
  </si>
  <si>
    <t>Autre pays</t>
  </si>
  <si>
    <t>Jun-Dec 2023</t>
  </si>
  <si>
    <t>juin-déc 2023</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</si>
  <si>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</si>
  <si>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</si>
  <si>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</si>
  <si>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</si>
  <si>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</si>
  <si>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</si>
  <si>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</si>
  <si>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</si>
  <si>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</si>
  <si>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</si>
  <si>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</si>
  <si>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</si>
  <si>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</si>
  <si>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</si>
  <si>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</si>
  <si>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</si>
  <si>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</si>
  <si>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</si>
  <si>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</si>
  <si>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</si>
  <si>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</si>
  <si>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</si>
  <si>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</si>
  <si>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</si>
  <si>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</si>
  <si>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</si>
  <si>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</si>
  <si>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</si>
  <si>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</si>
  <si>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</si>
  <si>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</si>
  <si>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</si>
  <si>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</si>
  <si>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</si>
  <si>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</si>
  <si>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</si>
  <si>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</si>
  <si>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</si>
  <si>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</si>
  <si>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</si>
  <si>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</si>
  <si>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</si>
  <si>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</si>
  <si>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</si>
  <si>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utilisateurs finals</t>
  </si>
  <si>
    <t>VENTES AU CANADA D'IMPORTATIONS À VOS CINQ PLUS IMPORTANTS CLIENTS</t>
  </si>
  <si>
    <t>IMPORTATIONS DE PRODUITS DE RÉFÉRENCE</t>
  </si>
  <si>
    <t>Indiquez le volume et la valeur des ventes d'importations au Canada pour chaque produit de référence :</t>
  </si>
  <si>
    <t>VENTES AU CANADA D'IMPORTATIONS DE PRODUITS DE RÉFÉRENCE</t>
  </si>
  <si>
    <t>Dans le tableau ci-dessous, « Erreur » signifie que les ventes totales des produits de référence de votre entreprise dépassent les ventes totales d'importations de votre entreprise pour cette période. Par conséquent, veuillez modifier les données ci-dessus si nécessaire.</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</si>
  <si>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</si>
  <si>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</si>
  <si>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</si>
  <si>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</si>
  <si>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</si>
  <si>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</si>
  <si>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</si>
  <si>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</si>
  <si>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</si>
  <si>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</si>
  <si>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</si>
  <si>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</si>
  <si>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</si>
  <si>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</si>
  <si>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</si>
  <si>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</si>
  <si>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</si>
  <si>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</si>
  <si>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</si>
  <si>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</si>
  <si>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</si>
  <si>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</si>
  <si>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</si>
  <si>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</si>
  <si>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</si>
  <si>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Longueur (m)</t>
  </si>
  <si>
    <t>Length (m)</t>
  </si>
  <si>
    <t>Épaisseur de la paroi (mm)</t>
  </si>
  <si>
    <t>Wall Thickness (mm)</t>
  </si>
  <si>
    <t>Diamètre extérieur (mm)</t>
  </si>
  <si>
    <t>Outside Diameter (mm)</t>
  </si>
  <si>
    <t>Vendus au Canada ou exportés</t>
  </si>
  <si>
    <t>Sold in Canada or exported</t>
  </si>
  <si>
    <t>Pays d'origine</t>
  </si>
  <si>
    <t>Country of Origin</t>
  </si>
  <si>
    <t>Maximum</t>
  </si>
  <si>
    <t>Minimum</t>
  </si>
  <si>
    <t>Traitement de la surface (c.à dire recouverts ou non)</t>
  </si>
  <si>
    <t>Finish (ie. Bare or Coated)</t>
  </si>
  <si>
    <t>Nuance d'acier</t>
  </si>
  <si>
    <t>Steel Grade</t>
  </si>
  <si>
    <t>A</t>
  </si>
  <si>
    <t>GRADES</t>
  </si>
  <si>
    <t>hiddenc</t>
  </si>
  <si>
    <t>Provide the proportion of your import net delivered selling value that is represented by delivery costs.</t>
  </si>
  <si>
    <t>Indiquez la proportion de la valeur de vente nette rendue de vos importations qui est représentée par les frais de livraison.</t>
  </si>
  <si>
    <t>Delivery costs</t>
  </si>
  <si>
    <t>Coûts de livraison</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</si>
  <si>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</si>
  <si>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</si>
  <si>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</si>
  <si>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</si>
  <si>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</si>
  <si>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volume - total imports of benchmark products (Question 3)</t>
  </si>
  <si>
    <t>volume - total des importations des produits de référence (Question 3)</t>
  </si>
  <si>
    <t>volume - total imports (Question 1)</t>
  </si>
  <si>
    <t>volume - total des importations (Question 1)</t>
  </si>
  <si>
    <t>value - total imports of benchmark products (Question 3)</t>
  </si>
  <si>
    <t>valeur - total des importations des produits de référence (Question 3)</t>
  </si>
  <si>
    <t>valeur - total des importations (Question 1)</t>
  </si>
  <si>
    <t>volume - total sales in Canada of imports to the top five accounts (Question 2)</t>
  </si>
  <si>
    <t>volume - total sales in Canada of imports (Question 1)</t>
  </si>
  <si>
    <t>volume - total des ventes au Canada d'importations aux cinq principaux clients (Question 2)</t>
  </si>
  <si>
    <t>volume - total des ventes au Canada d'importations (Question 1)</t>
  </si>
  <si>
    <t>valeur - total des ventes au Canada d'importations aux cinq principaux clients (Question 2)</t>
  </si>
  <si>
    <t>valeur - total des ventes au Canada d'importations (Question 1)</t>
  </si>
  <si>
    <t>value - total sales in Canada of imports to the top five accounts (Question 2)</t>
  </si>
  <si>
    <t>value - total sales in Canada of imports (Question 1)</t>
  </si>
  <si>
    <t>volume - total sales in Canada of imports of benchmark products (Question 4)</t>
  </si>
  <si>
    <t>value - total sales in Canada of imports of benchmark products (Question 4)</t>
  </si>
  <si>
    <t>volume - total des ventes au Canada d'importations des produits de référence (Question 4)</t>
  </si>
  <si>
    <t>valeur - total des ventes au Canada d'importations des produits de référence (Question 4)</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</si>
  <si>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</si>
  <si>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</si>
  <si>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</si>
  <si>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</si>
  <si>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</si>
  <si>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</si>
  <si>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</si>
  <si>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</si>
  <si>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</si>
  <si>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</si>
  <si>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Your firm sold the goods, without modification, to members of the public (i.e. a retailer)?</t>
  </si>
  <si>
    <t>Your firm sold the goods, without modification, to other businesses (i.e. a distributor of the goods)?</t>
  </si>
  <si>
    <t>Your firm used the goods for its own purposes and the goods were not sold in any capacity (i.e. an end user of the goods)?</t>
  </si>
  <si>
    <t>Votre entreprise a vendu les marchandises, sans modification, à des particuliers (c'est-à-dire un détaillant) ?</t>
  </si>
  <si>
    <t>Votre entreprise a vendu les marchandises, sans modification, à d'autres entreprises (c'est-à-dire un distributeur des marchandises) ?</t>
  </si>
  <si>
    <t>Your firm used the goods in the production of a different product which you then sold (i.e. an end user of the goods)?</t>
  </si>
  <si>
    <t>Votre entreprise a utilisé les marchandises dans la production d'un produit différent que vous avez ensuite vendu (c'est-à-dire un utilisateur final des marchandises) ?</t>
  </si>
  <si>
    <t>Votre entreprise a utilisé les marchandises à ses propres fins et les marchandises n'ont été vendues sous aucune forme (c'est-à-dire un utilisateur final des marchandises) ?</t>
  </si>
  <si>
    <t>If no, explain why CBSA import data indicates that you imported using the HS numbers listed on the Info tab during this period.</t>
  </si>
  <si>
    <t>Si non, expliquez pourquoi les données d'importation de l'ASFC indiquent que vous avez importé en utilisant les numéros SH énumérés dans l'onglet Info au cours de cette période.</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</si>
  <si>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</si>
  <si>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</si>
  <si>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</si>
  <si>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</si>
  <si>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</si>
  <si>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</si>
  <si>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</si>
  <si>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</si>
  <si>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</si>
  <si>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</si>
  <si>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</si>
  <si>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</si>
  <si>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forged grinding media</t>
  </si>
  <si>
    <t>corps de broyage forgés</t>
  </si>
  <si>
    <t>dumping and the subsidizing</t>
  </si>
  <si>
    <t>le dumping et le subventionnement</t>
  </si>
  <si>
    <t>China</t>
  </si>
  <si>
    <t>de la Chine</t>
  </si>
  <si>
    <t>janv.-mars 2025</t>
  </si>
  <si>
    <t>janv.-mars 2026</t>
  </si>
  <si>
    <t>Andrew Wigmore</t>
  </si>
  <si>
    <t>Joseph Long</t>
  </si>
  <si>
    <t>Joseph.Long@tribunal.gc.ca</t>
  </si>
  <si>
    <t>343-597-3847</t>
  </si>
  <si>
    <t>Forged or stamped forged grinding media in spherical or ovoid shape ("ball"), with a nominal diameter between 25 millimeters (1 inch) up to and including 160 millimeters (6.25 inches), produced through the forging or stamping method.</t>
  </si>
  <si>
    <t>Corps de broyage forgés ou estampés en acier, de forme sphérique ou ovoïde (« boulets »), d’un diamètre nominal de 25 millimètres (1 pouce) à 160 millimètres (6,25 pouces) inclusivement, produits par forgeage ou estampage.</t>
  </si>
  <si>
    <t>https://www.cbsa-asfc.gc.ca/sima-lmsi/i-e/fgm2026/fgm2026-in-eng.html#3-2</t>
  </si>
  <si>
    <t>https://www.cbsa-asfc.gc.ca/sima-lmsi/i-e/fgm2026/fgm2026-in-fra.html#3-2</t>
  </si>
  <si>
    <t>7326.11.00.00</t>
  </si>
  <si>
    <t>other</t>
  </si>
  <si>
    <t>autre</t>
  </si>
  <si>
    <t>Chine</t>
  </si>
  <si>
    <t>To Be Entered</t>
  </si>
  <si>
    <t>Category1</t>
  </si>
  <si>
    <t>Forged</t>
  </si>
  <si>
    <t>Forgeage</t>
  </si>
  <si>
    <t>Category2</t>
  </si>
  <si>
    <t>Stamped</t>
  </si>
  <si>
    <t>Estampage</t>
  </si>
  <si>
    <t>Category3</t>
  </si>
  <si>
    <t>Unfinished (Green Balls)</t>
  </si>
  <si>
    <t>value - total imports (Question 1)</t>
  </si>
  <si>
    <t>Using data provided in Question 1 in the country tabs with the data provided in Question 3 on the Invent-Stock tab, the questionnaire calculates ending inventory as follows:</t>
  </si>
  <si>
    <t>En utilisant les données fournies à la question 1 dans les onglets des pays avec les données fournies à la question 3 sur l'onglet Invent-Stock, le questionnaire calcule le stock de clôture comme suit :</t>
  </si>
  <si>
    <t>Difference between ending inventory in Question 3 on the Invent-Stock tab and the calculated ending inventory</t>
  </si>
  <si>
    <t>If the volume of ending inventory in Question 3 on the Invent-Stock tab differs from the calculated ending inventory, explain why there is a difference.</t>
  </si>
  <si>
    <t>Using data provided in Question 1 in the country tabs with the data provided in Question 5 on the Invent-Stock tab, the questionnaire calculates ending inventory as follows:</t>
  </si>
  <si>
    <t>En utilisant les données fournies à la question 1 dans les onglets des pays avec les données fournies à la question 5 sur l'onglet Invent-Stock, le questionnaire calcule le stock de clôture comme suit :</t>
  </si>
  <si>
    <t>Difference between ending inventory in Question 5 on the Invent-Stock tab and the calculated ending inventory</t>
  </si>
  <si>
    <t>Différence entre le stock de clôture à la question 5 dans l'onglet Invent-Stock et le stock de clôture calculé</t>
  </si>
  <si>
    <t>If the volume of ending inventory in Question 5 on the Invent-Stock tab differs from the calculated ending inventory, explain why there is a difference.</t>
  </si>
  <si>
    <t>Si le volume du stock de clôture à la question 5 dans l'onglet Invent-Stock diffère du stock de clôture calculé, expliquez pourquoi il y a une différence.</t>
  </si>
  <si>
    <t>Si le volume du stock de clôture à la question 3 dans l'onglet Invent-Stock diffère du stock de clôture calculé, expliquez pourquoi il y a une différence.</t>
  </si>
  <si>
    <t>Différence entre le stock de clôture à la question 3 dans l'onglet Invent-Stock et le stock de clôture calculé</t>
  </si>
  <si>
    <t>Andrew.Wigmore@tribunal.gc.ca</t>
  </si>
  <si>
    <t>613-558-9353</t>
  </si>
  <si>
    <t>Jan-Mar 2025</t>
  </si>
  <si>
    <t>Jan-Mar 2026</t>
  </si>
  <si>
    <t>March 31</t>
  </si>
  <si>
    <t>31 mars</t>
  </si>
  <si>
    <t>Non finis (les boulets verts)</t>
  </si>
  <si>
    <t>The freight, handling, and insurance incurred by your firm from the point of direct shipment in Canada include all domestic delivery costs, including any costs incurred for the use of any stock yards or depots, and handling or delivery costs from those locations to the end user or an estimate of such delivery costs incurred by your customers.</t>
  </si>
  <si>
    <t>Le fret, la manutention et l’assurance engagés par votre entreprise à partir du point d’expédition directe au Canada incluent tous les coûts de livraison intérieurs, y compris tous les coûts engagés pour l’utilisation des parcs de stockage ou des dépôts, et les coûts de manutention ou de livraison de ces emplacements à l’utilisateur final ou une estimation de ces coûts de livraison engagés par vos clients.</t>
  </si>
  <si>
    <t>SAG Balls - 5.0" (125mm) within a 5% tolerance</t>
  </si>
  <si>
    <t>Billes SAG - 5.0" (125mm) avec une tolérance de 5%</t>
  </si>
  <si>
    <t>SAG Balls - 5.25" (133mm) within a 5% tolerance</t>
  </si>
  <si>
    <t>Billes SAG - 5.25" (133mm) avec une tolérance de 5%</t>
  </si>
  <si>
    <t>Mid-size Balls - 2.5" (65mm) within a 5% tolerance</t>
  </si>
  <si>
    <t>Billes de taille moyenne - 2.5" (65mm) avec une tolérance de 5%</t>
  </si>
  <si>
    <t>Mid-size Balls - 3.5" (94mm) within a 5% tolerance</t>
  </si>
  <si>
    <t>Billes de taille moyenne - 3.5" (94mm) avec une tolérance de 5%</t>
  </si>
  <si>
    <t>Regrind Balls - 1.0" (25mm) within a 5% tolerance</t>
  </si>
  <si>
    <t>Billes de rebroyeur - 1.0" (25mm) avec une tolérance de 5%</t>
  </si>
  <si>
    <t>June 16, 2026</t>
  </si>
  <si>
    <t>16 juin 2026</t>
  </si>
  <si>
    <t>Account 6</t>
  </si>
  <si>
    <t>Client 6</t>
  </si>
  <si>
    <t>FirmAcc</t>
  </si>
  <si>
    <t>Company:</t>
  </si>
  <si>
    <t>Respondent Type:</t>
  </si>
  <si>
    <t>Activity:</t>
  </si>
  <si>
    <t>Country:</t>
  </si>
  <si>
    <t>Subject/Non:</t>
  </si>
  <si>
    <t>Other Country:</t>
  </si>
  <si>
    <t>Trade Level:</t>
  </si>
  <si>
    <t>Sales To:</t>
  </si>
  <si>
    <t>2023</t>
  </si>
  <si>
    <t>2024</t>
  </si>
  <si>
    <t>2025</t>
  </si>
  <si>
    <t>Importer   |  Importateurs</t>
  </si>
  <si>
    <t>Imports from  |  Importations de</t>
  </si>
  <si>
    <t>China  |  Chine</t>
  </si>
  <si>
    <t>Subject</t>
  </si>
  <si>
    <t>-</t>
  </si>
  <si>
    <t>United States  |  États-Unis</t>
  </si>
  <si>
    <t>Non-subject</t>
  </si>
  <si>
    <t>Other Countries  |  Autres pays</t>
  </si>
  <si>
    <t>Sales to | Ventes à</t>
  </si>
  <si>
    <t>From Imports</t>
  </si>
  <si>
    <t>Export Sales |  Ventes à l'exportation</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</si>
  <si>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</si>
  <si>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</si>
  <si>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</si>
  <si>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</si>
  <si>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</si>
  <si>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</si>
  <si>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</si>
  <si>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</si>
  <si>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</si>
  <si>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</si>
  <si>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</si>
  <si>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</si>
  <si>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</si>
  <si>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</si>
  <si>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</si>
  <si>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</si>
  <si>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Product Type</t>
  </si>
  <si>
    <t>POID</t>
  </si>
  <si>
    <t>2 - Importer</t>
  </si>
  <si>
    <t>B - Vendor 1</t>
  </si>
  <si>
    <t>Significant</t>
  </si>
  <si>
    <t>1 - Subject</t>
  </si>
  <si>
    <t>Dumping and Subsidizing</t>
  </si>
  <si>
    <t>Imp</t>
  </si>
  <si>
    <t>Imp-Sls</t>
  </si>
  <si>
    <t>zUS</t>
  </si>
  <si>
    <t>Insignificant</t>
  </si>
  <si>
    <t>2 - Non-Subject</t>
  </si>
  <si>
    <t xml:space="preserve">United States  |  États-Unis </t>
  </si>
  <si>
    <t>Non-Subject</t>
  </si>
  <si>
    <t>Benchmarks</t>
  </si>
  <si>
    <t>Collapsed Respondent</t>
  </si>
  <si>
    <t>Tab in Q.</t>
  </si>
  <si>
    <t>Product Name</t>
  </si>
  <si>
    <t>Product #</t>
  </si>
  <si>
    <t>Q2  |  T2 2024</t>
  </si>
  <si>
    <t>Q3  |  T3 2024</t>
  </si>
  <si>
    <t>Q4  |  T4 2024</t>
  </si>
  <si>
    <t>Q1  |  T1 2025</t>
  </si>
  <si>
    <t>Q2  |  T2 2025</t>
  </si>
  <si>
    <t>Q3  |  T3 2025</t>
  </si>
  <si>
    <t>Q4  |  T4 2025</t>
  </si>
  <si>
    <t>Q2  |  T2 20243</t>
  </si>
  <si>
    <t>Q3  |  T3 20244</t>
  </si>
  <si>
    <t>Q4  |  T4 20245</t>
  </si>
  <si>
    <t>Q1  |  T1 20256</t>
  </si>
  <si>
    <t>Q2  |  T2 20257</t>
  </si>
  <si>
    <t>Q3  |  T3 20258</t>
  </si>
  <si>
    <t>Q4  |  T4 20259</t>
  </si>
  <si>
    <t>Benchmark Product 1  |  Produit de référence 1</t>
  </si>
  <si>
    <t>Benchmark Product 2  |  Produit de référence 2</t>
  </si>
  <si>
    <t>Benchmark Product 3  |  Produit de référence 3</t>
  </si>
  <si>
    <t>Benchmark Product 4  |  Produit de référence 4</t>
  </si>
  <si>
    <t>Benchmark Product 5  |  Produit de référence 5</t>
  </si>
  <si>
    <t>C - Vendor 2</t>
  </si>
  <si>
    <t>D - Vendor 3</t>
  </si>
  <si>
    <t>3 - Non-subject</t>
  </si>
  <si>
    <t>Regional</t>
  </si>
  <si>
    <t>VOLUME</t>
  </si>
  <si>
    <t>% DISTRIBUTION</t>
  </si>
  <si>
    <t>Respondent Type</t>
  </si>
  <si>
    <t>From</t>
  </si>
  <si>
    <t>Section</t>
  </si>
  <si>
    <t>Region</t>
  </si>
  <si>
    <t>Importer 1</t>
  </si>
  <si>
    <t>IMPORTER</t>
  </si>
  <si>
    <t>Import Sales</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</si>
  <si>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</si>
  <si>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</si>
  <si>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</si>
  <si>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</si>
  <si>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</si>
  <si>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</si>
  <si>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</si>
  <si>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</si>
  <si>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</si>
  <si>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</si>
  <si>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TopAccounts</t>
  </si>
  <si>
    <t>Account #</t>
  </si>
  <si>
    <t>Name of Account</t>
  </si>
  <si>
    <t>Match</t>
  </si>
  <si>
    <t>MsvImp (ImpMkts)</t>
  </si>
  <si>
    <t>DIST VS EU</t>
  </si>
  <si>
    <t>Other Country</t>
  </si>
  <si>
    <t>3 - Non-Subject</t>
  </si>
  <si>
    <t>InventImp</t>
  </si>
  <si>
    <t>Firm Type</t>
  </si>
  <si>
    <t>Product</t>
  </si>
  <si>
    <t>Importer</t>
  </si>
  <si>
    <t>Respondant</t>
  </si>
  <si>
    <t>Sheet/Comment</t>
  </si>
  <si>
    <t>Question</t>
  </si>
  <si>
    <t>Answer</t>
  </si>
  <si>
    <t>Version</t>
  </si>
  <si>
    <t>Pub</t>
  </si>
  <si>
    <t>Q5</t>
  </si>
  <si>
    <t>Q6</t>
  </si>
  <si>
    <t>Q7</t>
  </si>
  <si>
    <t>Q8</t>
  </si>
  <si>
    <t>Q9a</t>
  </si>
  <si>
    <t>Q9b</t>
  </si>
  <si>
    <t>Q9c</t>
  </si>
  <si>
    <t>Q10</t>
  </si>
  <si>
    <t>Q11</t>
  </si>
  <si>
    <t>Q12</t>
  </si>
  <si>
    <t>Q13</t>
  </si>
  <si>
    <t>Q14</t>
  </si>
  <si>
    <t>Q15</t>
  </si>
  <si>
    <t>Q16</t>
  </si>
  <si>
    <t>Q17</t>
  </si>
  <si>
    <t>Q18</t>
  </si>
  <si>
    <t>Q19</t>
  </si>
  <si>
    <t>Q20</t>
  </si>
  <si>
    <t>Q21</t>
  </si>
  <si>
    <t>Q22</t>
  </si>
  <si>
    <t>Q23</t>
  </si>
  <si>
    <t>Q24</t>
  </si>
  <si>
    <t>Q25</t>
  </si>
  <si>
    <t>AddPub1</t>
  </si>
  <si>
    <t>AddPub2</t>
  </si>
  <si>
    <t>AddPub3</t>
  </si>
  <si>
    <t>AddPub4</t>
  </si>
  <si>
    <t>AddPub5</t>
  </si>
  <si>
    <t>Pro</t>
  </si>
  <si>
    <t>Q9</t>
  </si>
  <si>
    <t>China 1</t>
  </si>
  <si>
    <t>China 2</t>
  </si>
  <si>
    <t>China 3</t>
  </si>
  <si>
    <t>US</t>
  </si>
  <si>
    <t>Invent</t>
  </si>
  <si>
    <t>AddPro1</t>
  </si>
  <si>
    <t>AddPro2</t>
  </si>
  <si>
    <t>AddPro3</t>
  </si>
  <si>
    <t>AddPro4</t>
  </si>
  <si>
    <t>AddPro5</t>
  </si>
  <si>
    <t>i-2025</t>
  </si>
  <si>
    <t>Others  |  Autres</t>
  </si>
  <si>
    <t>End users  |  Utilisateurs finals</t>
  </si>
  <si>
    <t>zzOther</t>
  </si>
  <si>
    <t>VOL  - i-2025</t>
  </si>
  <si>
    <t>VOL  - i-2026</t>
  </si>
  <si>
    <t>VAL  - i-2025</t>
  </si>
  <si>
    <t>Q1  |  T1 2026</t>
  </si>
  <si>
    <t>i-2026</t>
  </si>
  <si>
    <t>Total Sales in Canada</t>
  </si>
  <si>
    <t>Imp-Exp1</t>
  </si>
  <si>
    <t>Imp-Exp2</t>
  </si>
  <si>
    <t>Imp-Exp3</t>
  </si>
  <si>
    <t>Imp-US</t>
  </si>
  <si>
    <t>Imp-Other-Autre</t>
  </si>
  <si>
    <t>D - Vendor 4</t>
  </si>
  <si>
    <t>Val</t>
  </si>
  <si>
    <t>Q1 - 2025</t>
  </si>
  <si>
    <t>Q2 - 2025</t>
  </si>
  <si>
    <t>Q3 - 2025</t>
  </si>
  <si>
    <t>Q4 - 2025</t>
  </si>
  <si>
    <t>INV</t>
  </si>
  <si>
    <t>If a company is primarily a producer, that also imports (and fills in an Importers' Q), remember to change them from an importer to a Producer in "Respondent Type".  If you're not sure what to classify any company that both imports and produces, just ask the analysts</t>
  </si>
  <si>
    <t>NQ-2026-002</t>
  </si>
  <si>
    <t>Reinput Match formula once in DB</t>
  </si>
  <si>
    <t>VOL  - 2023</t>
  </si>
  <si>
    <t>VOL  - 2024</t>
  </si>
  <si>
    <t>VOL  - 2025</t>
  </si>
  <si>
    <t>VAL  - 2023</t>
  </si>
  <si>
    <t>VAL  - 2024</t>
  </si>
  <si>
    <t>VAL  - 2025</t>
  </si>
  <si>
    <t>Q1 - 2026</t>
  </si>
  <si>
    <t>October 1, 2024 - September 30, 2025</t>
  </si>
  <si>
    <t>1 octobre 2024 - 30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</si>
</sst>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F800]dddd\,\ mmmm\ dd\,\ yyyy"/>
    <numFmt numFmtId="169" formatCode="_(* #,##0.0000_);_(* \(#,##0.0000\);_(* &quot;-&quot;??_);_(@_)"/>
    <numFmt numFmtId="170" formatCode="mmm\ \-\ yyyy"/>
    <numFmt numFmtId="171" formatCode="_-* #,##0_-;\-* #,##0_-;_-* &quot;-&quot;??_-;_-@_-"/>
  </numFmts>
  <fonts count="76"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10.5"/>
      <color rgb="FF7030A0"/>
      <name val="Calibri"/>
      <family val="2"/>
    </font>
    <font>
      <b/>
      <sz val="10.5"/>
      <color rgb="FFFF0000"/>
      <name val="Calibri"/>
      <family val="2"/>
    </font>
    <font>
      <b/>
      <sz val="10.5"/>
      <color theme="0"/>
      <name val="Calibri"/>
      <family val="2"/>
    </font>
    <font>
      <b/>
      <sz val="9"/>
      <color indexed="81"/>
      <name val="Tahoma"/>
      <family val="2"/>
    </font>
    <font>
      <sz val="10.5"/>
      <color rgb="FF0070C0"/>
      <name val="Calibri"/>
      <family val="2"/>
      <scheme val="minor"/>
    </font>
    <font>
      <b/>
      <sz val="11"/>
      <color theme="1"/>
      <name val="Calibri"/>
      <family val="2"/>
      <scheme val="minor"/>
    </font>
    <font>
      <b/>
      <u/>
      <sz val="10"/>
      <color theme="0"/>
      <name val="Cambria"/>
      <family val="2"/>
      <scheme val="maj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b/>
      <sz val="9"/>
      <color theme="1"/>
      <name val="Calibri"/>
      <family val="2"/>
      <scheme val="minor"/>
    </font>
    <font>
      <sz val="9"/>
      <name val="Calibri"/>
      <family val="2"/>
      <scheme val="minor"/>
    </font>
    <font>
      <sz val="9"/>
      <color theme="1"/>
      <name val="Calibri"/>
      <family val="2"/>
      <scheme val="minor"/>
    </font>
    <font>
      <b/>
      <u/>
      <sz val="10"/>
      <name val="Calibri"/>
      <family val="2"/>
      <scheme val="minor"/>
    </font>
    <font>
      <b/>
      <sz val="10"/>
      <name val="Calibri"/>
      <family val="2"/>
      <scheme val="minor"/>
    </font>
    <font>
      <b/>
      <u/>
      <sz val="10"/>
      <color theme="0"/>
      <name val="Calibri"/>
      <family val="2"/>
      <scheme val="minor"/>
    </font>
    <font>
      <b/>
      <sz val="11"/>
      <color theme="0"/>
      <name val="Calibri"/>
      <family val="2"/>
      <scheme val="minor"/>
    </font>
    <font>
      <sz val="8"/>
      <color theme="1"/>
      <name val="Calibri"/>
      <family val="2"/>
      <scheme val="minor"/>
    </font>
    <font>
      <b/>
      <sz val="11"/>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darkUp"/>
    </fill>
    <fill>
      <patternFill patternType="solid">
        <fgColor theme="8" tint="-0.499984740745262"/>
        <bgColor indexed="64"/>
      </patternFill>
    </fill>
    <fill>
      <patternFill patternType="solid">
        <fgColor theme="8" tint="0.59999389629810485"/>
        <bgColor indexed="64"/>
      </patternFill>
    </fill>
    <fill>
      <patternFill patternType="darkUp">
        <bgColor theme="8" tint="0.79998168889431442"/>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s>
  <cellStyleXfs count="25693">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22" fillId="0" borderId="0"/>
    <xf numFmtId="43" fontId="16" fillId="0" borderId="0" applyFont="0" applyFill="0" applyBorder="0" applyAlignment="0" applyProtection="0"/>
    <xf numFmtId="0" fontId="16" fillId="0" borderId="0"/>
  </cellStyleXfs>
  <cellXfs count="863">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Fill="1" applyAlignment="1">
      <alignment vertical="top" wrapText="1"/>
    </xf>
    <xf numFmtId="0" fontId="3" fillId="0" borderId="0" xfId="0" applyFont="1" applyFill="1" applyAlignment="1">
      <alignment vertical="top" wrapText="1"/>
    </xf>
    <xf numFmtId="1" fontId="39" fillId="0" borderId="16" xfId="183" applyNumberFormat="1" applyFont="1" applyFill="1" applyBorder="1" applyAlignment="1" applyProtection="1">
      <alignment horizontal="right" vertical="top" wrapText="1"/>
    </xf>
    <xf numFmtId="0" fontId="6" fillId="0" borderId="0" xfId="0" applyFont="1" applyBorder="1" applyAlignment="1">
      <alignment horizontal="centerContinuous" vertical="top" wrapText="1"/>
    </xf>
    <xf numFmtId="0" fontId="4" fillId="0" borderId="0" xfId="0" applyFont="1" applyBorder="1" applyAlignment="1">
      <alignment horizontal="centerContinuous" vertical="top" wrapText="1"/>
    </xf>
    <xf numFmtId="1" fontId="39" fillId="0" borderId="10" xfId="183" applyNumberFormat="1" applyFont="1" applyFill="1" applyBorder="1" applyAlignment="1" applyProtection="1">
      <alignment horizontal="right"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4" fillId="0" borderId="0" xfId="0" applyFont="1" applyBorder="1" applyAlignment="1">
      <alignment vertical="top"/>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4" fillId="0" borderId="7" xfId="0" applyFont="1" applyBorder="1" applyAlignment="1">
      <alignmen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0" xfId="0" applyFont="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4" fillId="0" borderId="0"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5" fillId="0" borderId="7" xfId="0" applyFont="1" applyBorder="1" applyAlignment="1">
      <alignment horizontal="right" vertical="top" wrapText="1" indent="1"/>
    </xf>
    <xf numFmtId="0" fontId="5" fillId="0" borderId="0" xfId="0" applyFont="1" applyBorder="1" applyAlignment="1">
      <alignment horizontal="right" vertical="top" wrapText="1" indent="1"/>
    </xf>
    <xf numFmtId="0" fontId="4" fillId="37" borderId="0" xfId="0" applyFont="1" applyFill="1" applyAlignment="1">
      <alignment vertical="top"/>
    </xf>
    <xf numFmtId="0" fontId="4" fillId="0" borderId="0" xfId="0" applyFont="1" applyBorder="1"/>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2" fillId="0" borderId="0" xfId="0" applyFont="1" applyFill="1" applyAlignment="1">
      <alignment horizontal="left" vertical="top" wrapText="1"/>
    </xf>
    <xf numFmtId="0" fontId="4" fillId="0" borderId="0" xfId="0" applyFont="1" applyBorder="1" applyAlignment="1">
      <alignment wrapText="1"/>
    </xf>
    <xf numFmtId="0" fontId="2" fillId="0" borderId="0" xfId="0" applyFont="1" applyFill="1" applyAlignment="1">
      <alignment wrapText="1"/>
    </xf>
    <xf numFmtId="0" fontId="4" fillId="0" borderId="8" xfId="0" applyFont="1" applyBorder="1" applyAlignment="1">
      <alignment vertical="top"/>
    </xf>
    <xf numFmtId="0" fontId="6" fillId="0" borderId="0" xfId="0" applyFont="1" applyBorder="1" applyAlignment="1">
      <alignment vertical="center"/>
    </xf>
    <xf numFmtId="0" fontId="4" fillId="37" borderId="0" xfId="0" applyFont="1" applyFill="1" applyAlignment="1">
      <alignment vertical="top" wrapText="1"/>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 fillId="0" borderId="0" xfId="0" applyFont="1" applyBorder="1" applyAlignment="1">
      <alignment horizontal="left" vertical="top" wrapText="1"/>
    </xf>
    <xf numFmtId="0" fontId="5" fillId="0" borderId="8" xfId="0" applyFont="1" applyBorder="1" applyAlignment="1">
      <alignment vertical="top" wrapText="1"/>
    </xf>
    <xf numFmtId="0" fontId="5" fillId="0" borderId="0" xfId="0" applyFont="1" applyAlignment="1">
      <alignment vertical="top" wrapText="1"/>
    </xf>
    <xf numFmtId="0" fontId="52" fillId="0" borderId="0" xfId="0" applyFont="1" applyAlignment="1">
      <alignment vertical="center"/>
    </xf>
    <xf numFmtId="0" fontId="39" fillId="0" borderId="0" xfId="0" applyFont="1"/>
    <xf numFmtId="0" fontId="52" fillId="41" borderId="0" xfId="0" applyFont="1" applyFill="1" applyAlignment="1">
      <alignment vertical="center"/>
    </xf>
    <xf numFmtId="0" fontId="48" fillId="0" borderId="0" xfId="0" applyFont="1" applyAlignment="1">
      <alignment vertical="top"/>
    </xf>
    <xf numFmtId="0" fontId="5" fillId="0" borderId="7" xfId="0" applyFont="1" applyFill="1" applyBorder="1" applyAlignment="1">
      <alignment horizontal="right" vertical="top" wrapText="1" indent="1"/>
    </xf>
    <xf numFmtId="0" fontId="5" fillId="0" borderId="0" xfId="0" applyFont="1" applyFill="1" applyBorder="1" applyAlignment="1">
      <alignment horizontal="right" vertical="top" wrapText="1" indent="1"/>
    </xf>
    <xf numFmtId="0" fontId="4" fillId="34" borderId="7" xfId="0" applyFont="1" applyFill="1" applyBorder="1" applyAlignment="1">
      <alignment horizontal="left" vertical="top" wrapText="1"/>
    </xf>
    <xf numFmtId="0" fontId="4" fillId="34"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5" fillId="0" borderId="0" xfId="0" applyFont="1" applyBorder="1" applyAlignment="1">
      <alignment horizontal="left" vertical="center"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0" xfId="0" applyFont="1" applyAlignment="1">
      <alignment vertical="top" wrapText="1"/>
    </xf>
    <xf numFmtId="0" fontId="37" fillId="0" borderId="0" xfId="0" applyFont="1" applyAlignment="1">
      <alignment horizontal="left" vertical="top" indent="1"/>
    </xf>
    <xf numFmtId="0" fontId="5" fillId="0" borderId="7" xfId="0" applyFont="1" applyBorder="1" applyAlignment="1">
      <alignment horizontal="right" vertical="top" wrapText="1"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167"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Border="1" applyAlignment="1">
      <alignment vertical="top" wrapText="1"/>
    </xf>
    <xf numFmtId="167" fontId="39" fillId="35" borderId="20" xfId="25686" applyNumberFormat="1" applyFont="1" applyFill="1" applyBorder="1" applyAlignment="1" applyProtection="1">
      <alignment horizontal="right" vertical="top"/>
      <protection locked="0"/>
    </xf>
    <xf numFmtId="167" fontId="40" fillId="36" borderId="20" xfId="25686" applyNumberFormat="1" applyFont="1" applyFill="1" applyBorder="1" applyAlignment="1" applyProtection="1">
      <alignment horizontal="right" vertical="center" wrapText="1"/>
    </xf>
    <xf numFmtId="167" fontId="40" fillId="36" borderId="23" xfId="25686" applyNumberFormat="1" applyFont="1" applyFill="1" applyBorder="1" applyAlignment="1" applyProtection="1">
      <alignment horizontal="right" vertical="center" wrapText="1"/>
    </xf>
    <xf numFmtId="0" fontId="7" fillId="38" borderId="31" xfId="0" applyFont="1" applyFill="1" applyBorder="1" applyAlignment="1">
      <alignment horizontal="center" vertical="top" wrapText="1"/>
    </xf>
    <xf numFmtId="167" fontId="39" fillId="35" borderId="20" xfId="25686" applyNumberFormat="1" applyFont="1" applyFill="1" applyBorder="1" applyAlignment="1" applyProtection="1">
      <alignment horizontal="right" vertical="center" wrapText="1"/>
      <protection locked="0"/>
    </xf>
    <xf numFmtId="167" fontId="39" fillId="35" borderId="31" xfId="25686" applyNumberFormat="1" applyFont="1" applyFill="1" applyBorder="1" applyAlignment="1" applyProtection="1">
      <alignment horizontal="right" vertical="center" wrapText="1"/>
      <protection locked="0"/>
    </xf>
    <xf numFmtId="0" fontId="5" fillId="0" borderId="0" xfId="0" applyFont="1" applyBorder="1" applyAlignment="1">
      <alignment horizontal="right" vertical="top" indent="1"/>
    </xf>
    <xf numFmtId="0" fontId="5" fillId="0" borderId="0" xfId="0" applyFont="1" applyFill="1" applyBorder="1" applyAlignment="1">
      <alignment horizontal="right" vertical="top" indent="1"/>
    </xf>
    <xf numFmtId="1" fontId="39" fillId="36" borderId="20" xfId="183" applyNumberFormat="1" applyFont="1" applyFill="1" applyBorder="1" applyAlignment="1" applyProtection="1">
      <alignment horizontal="center" vertical="top" wrapText="1"/>
    </xf>
    <xf numFmtId="0" fontId="39" fillId="35" borderId="20" xfId="183" applyNumberFormat="1" applyFont="1" applyFill="1" applyBorder="1" applyAlignment="1" applyProtection="1">
      <alignment horizontal="center" vertical="top" wrapText="1"/>
      <protection locked="0"/>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5" fillId="0" borderId="20" xfId="0" applyFont="1" applyBorder="1" applyAlignment="1">
      <alignment horizontal="center" vertical="center" wrapText="1"/>
    </xf>
    <xf numFmtId="0" fontId="5" fillId="0" borderId="7" xfId="0" applyFont="1" applyBorder="1" applyAlignment="1">
      <alignment vertical="top" wrapText="1"/>
    </xf>
    <xf numFmtId="0" fontId="4" fillId="0" borderId="0" xfId="0" applyFont="1" applyAlignment="1">
      <alignment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9" fontId="39" fillId="35" borderId="20" xfId="25687" applyFont="1" applyFill="1" applyBorder="1" applyAlignment="1" applyProtection="1">
      <alignment horizontal="center" vertical="center" wrapText="1"/>
      <protection locked="0"/>
    </xf>
    <xf numFmtId="165" fontId="39" fillId="36" borderId="20" xfId="25686" applyNumberFormat="1" applyFont="1" applyFill="1" applyBorder="1" applyAlignment="1" applyProtection="1">
      <alignment horizontal="right" vertical="top"/>
    </xf>
    <xf numFmtId="165" fontId="39" fillId="36" borderId="20" xfId="25686" applyNumberFormat="1" applyFont="1" applyFill="1" applyBorder="1" applyAlignment="1" applyProtection="1">
      <alignment horizontal="right" vertical="center" wrapText="1"/>
    </xf>
    <xf numFmtId="0" fontId="4" fillId="0" borderId="0" xfId="0" applyFont="1" applyFill="1" applyAlignment="1">
      <alignment vertical="top"/>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Border="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Border="1" applyAlignment="1">
      <alignment horizontal="left" vertical="top" wrapText="1"/>
    </xf>
    <xf numFmtId="0" fontId="36" fillId="34" borderId="0" xfId="0" applyFont="1" applyFill="1" applyAlignment="1">
      <alignment vertical="top" wrapText="1"/>
    </xf>
    <xf numFmtId="0" fontId="36" fillId="34" borderId="0" xfId="0" applyFont="1" applyFill="1" applyAlignment="1">
      <alignment horizontal="left" vertical="top" wrapText="1"/>
    </xf>
    <xf numFmtId="0" fontId="55" fillId="34" borderId="0" xfId="0" applyFont="1" applyFill="1" applyAlignment="1">
      <alignment vertical="top" wrapText="1"/>
    </xf>
    <xf numFmtId="0" fontId="56" fillId="34" borderId="0" xfId="0" applyFont="1" applyFill="1" applyAlignment="1">
      <alignment vertical="top" wrapText="1"/>
    </xf>
    <xf numFmtId="0" fontId="37" fillId="34" borderId="0" xfId="0" applyFont="1" applyFill="1" applyAlignment="1">
      <alignment horizontal="left" vertical="top" wrapText="1"/>
    </xf>
    <xf numFmtId="49" fontId="3" fillId="34" borderId="0" xfId="0" applyNumberFormat="1" applyFont="1" applyFill="1" applyAlignment="1">
      <alignment horizontal="left" vertical="top" wrapText="1"/>
    </xf>
    <xf numFmtId="165" fontId="39" fillId="35" borderId="31" xfId="183" applyFont="1" applyFill="1" applyBorder="1" applyAlignment="1" applyProtection="1">
      <alignment vertical="center" wrapText="1"/>
      <protection locked="0"/>
    </xf>
    <xf numFmtId="165" fontId="39" fillId="35" borderId="20" xfId="183" applyFont="1" applyFill="1" applyBorder="1" applyAlignment="1" applyProtection="1">
      <alignment vertical="center" wrapText="1"/>
      <protection locked="0"/>
    </xf>
    <xf numFmtId="49" fontId="39" fillId="35" borderId="20" xfId="183" applyNumberFormat="1" applyFont="1" applyFill="1" applyBorder="1" applyAlignment="1" applyProtection="1">
      <alignment vertical="center" wrapText="1"/>
      <protection locked="0"/>
    </xf>
    <xf numFmtId="0" fontId="47" fillId="38" borderId="32" xfId="0" applyFont="1" applyFill="1" applyBorder="1" applyAlignment="1">
      <alignment horizontal="center" vertical="center" wrapText="1"/>
    </xf>
    <xf numFmtId="0" fontId="47" fillId="38" borderId="22" xfId="0" applyFont="1" applyFill="1" applyBorder="1" applyAlignment="1">
      <alignment horizontal="center" vertical="center" wrapText="1"/>
    </xf>
    <xf numFmtId="49" fontId="36" fillId="34" borderId="0" xfId="0" applyNumberFormat="1" applyFont="1" applyFill="1" applyAlignment="1">
      <alignment vertical="top" wrapText="1"/>
    </xf>
    <xf numFmtId="0" fontId="37" fillId="34" borderId="0" xfId="0" applyFont="1" applyFill="1" applyAlignment="1">
      <alignment vertical="top"/>
    </xf>
    <xf numFmtId="0" fontId="37" fillId="34" borderId="0" xfId="0" applyFont="1" applyFill="1" applyAlignment="1">
      <alignment horizontal="left" vertical="top"/>
    </xf>
    <xf numFmtId="49" fontId="56" fillId="34" borderId="0" xfId="0" applyNumberFormat="1" applyFont="1" applyFill="1" applyAlignment="1">
      <alignment vertical="top" wrapText="1"/>
    </xf>
    <xf numFmtId="0" fontId="3" fillId="34" borderId="0" xfId="0" applyFont="1" applyFill="1" applyAlignment="1">
      <alignment horizontal="left" vertical="top" wrapText="1"/>
    </xf>
    <xf numFmtId="49" fontId="36" fillId="0" borderId="0" xfId="0" applyNumberFormat="1" applyFont="1" applyAlignment="1">
      <alignmen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49" fontId="55" fillId="34" borderId="0" xfId="0" applyNumberFormat="1" applyFont="1" applyFill="1" applyAlignment="1">
      <alignment vertical="top" wrapText="1"/>
    </xf>
    <xf numFmtId="0" fontId="38" fillId="0" borderId="0" xfId="0" applyFont="1" applyAlignment="1">
      <alignment horizontal="center" vertical="top" wrapText="1"/>
    </xf>
    <xf numFmtId="0" fontId="38" fillId="34" borderId="0" xfId="0" applyFont="1" applyFill="1" applyAlignment="1">
      <alignment horizontal="center" vertical="top" wrapText="1"/>
    </xf>
    <xf numFmtId="0" fontId="38" fillId="34" borderId="0" xfId="0" applyFont="1" applyFill="1" applyAlignment="1">
      <alignment horizontal="left" vertical="top" wrapText="1"/>
    </xf>
    <xf numFmtId="0" fontId="38" fillId="34" borderId="0" xfId="0" applyFont="1" applyFill="1" applyAlignment="1">
      <alignment horizontal="left" vertical="top"/>
    </xf>
    <xf numFmtId="0" fontId="55" fillId="34" borderId="0" xfId="0" applyFont="1" applyFill="1" applyAlignment="1">
      <alignment horizontal="center" vertical="top" wrapText="1"/>
    </xf>
    <xf numFmtId="0" fontId="56" fillId="34" borderId="0" xfId="0" applyFont="1" applyFill="1" applyAlignment="1">
      <alignment horizontal="center" vertical="top" wrapText="1"/>
    </xf>
    <xf numFmtId="0" fontId="41" fillId="34" borderId="0" xfId="0" applyFont="1" applyFill="1" applyAlignment="1">
      <alignment horizontal="center" vertical="top" wrapText="1"/>
    </xf>
    <xf numFmtId="0" fontId="57" fillId="34" borderId="0" xfId="0" applyFont="1" applyFill="1" applyAlignment="1">
      <alignment horizontal="center"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2" fillId="34" borderId="7" xfId="0" applyFont="1" applyFill="1" applyBorder="1" applyAlignment="1">
      <alignment vertical="top" wrapText="1"/>
    </xf>
    <xf numFmtId="0" fontId="7" fillId="0" borderId="0" xfId="0" applyFont="1" applyAlignment="1">
      <alignment vertical="top"/>
    </xf>
    <xf numFmtId="0" fontId="36" fillId="34" borderId="0" xfId="0" applyFont="1" applyFill="1" applyAlignment="1">
      <alignment horizontal="left" vertical="top" indent="1"/>
    </xf>
    <xf numFmtId="0" fontId="41" fillId="34" borderId="0" xfId="0" applyFont="1" applyFill="1" applyAlignment="1">
      <alignment horizontal="centerContinuous" vertical="top" wrapText="1"/>
    </xf>
    <xf numFmtId="0" fontId="41" fillId="33" borderId="8" xfId="0" applyFont="1" applyFill="1" applyBorder="1" applyAlignment="1">
      <alignment horizontal="centerContinuous" vertical="top" wrapText="1"/>
    </xf>
    <xf numFmtId="0" fontId="41" fillId="33"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3" fillId="34" borderId="0" xfId="0" applyFont="1" applyFill="1" applyAlignment="1">
      <alignment vertical="top" wrapText="1"/>
    </xf>
    <xf numFmtId="0" fontId="36" fillId="34" borderId="0" xfId="0" applyFont="1" applyFill="1" applyAlignment="1">
      <alignment horizontal="left" vertical="center"/>
    </xf>
    <xf numFmtId="0" fontId="55" fillId="34" borderId="0" xfId="0" applyFont="1" applyFill="1" applyAlignment="1">
      <alignment horizontal="left" vertical="top" indent="1"/>
    </xf>
    <xf numFmtId="0" fontId="56" fillId="34" borderId="0" xfId="0" applyFont="1" applyFill="1" applyAlignment="1">
      <alignment horizontal="left" vertical="top" indent="1"/>
    </xf>
    <xf numFmtId="0" fontId="39" fillId="35" borderId="20" xfId="183" applyNumberFormat="1" applyFont="1" applyFill="1" applyBorder="1" applyAlignment="1" applyProtection="1">
      <alignment horizontal="center" vertical="top" wrapText="1"/>
      <protection locked="0"/>
    </xf>
    <xf numFmtId="0" fontId="39" fillId="35" borderId="20" xfId="183" applyNumberFormat="1" applyFont="1" applyFill="1" applyBorder="1" applyAlignment="1" applyProtection="1">
      <alignment horizontal="center" vertical="top" wrapText="1"/>
      <protection locked="0"/>
    </xf>
    <xf numFmtId="0" fontId="4" fillId="0" borderId="16" xfId="0" applyFont="1" applyFill="1" applyBorder="1"/>
    <xf numFmtId="0" fontId="4" fillId="0" borderId="10" xfId="0" applyFont="1" applyFill="1" applyBorder="1"/>
    <xf numFmtId="15" fontId="4" fillId="37" borderId="0" xfId="0" quotePrefix="1" applyNumberFormat="1" applyFont="1" applyFill="1" applyAlignment="1">
      <alignment horizontal="left" vertical="top"/>
    </xf>
    <xf numFmtId="0" fontId="4" fillId="37" borderId="0" xfId="0" quotePrefix="1" applyNumberFormat="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7" fillId="0" borderId="0" xfId="0" applyFont="1" applyAlignment="1">
      <alignment vertical="top"/>
    </xf>
    <xf numFmtId="0" fontId="7" fillId="38" borderId="20" xfId="0" applyFont="1" applyFill="1" applyBorder="1" applyAlignment="1">
      <alignment horizontal="center" vertical="top"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5" fillId="0" borderId="0" xfId="0" applyFont="1" applyBorder="1" applyAlignment="1">
      <alignment horizontal="left" vertical="top"/>
    </xf>
    <xf numFmtId="0" fontId="5" fillId="0" borderId="20" xfId="0" applyFont="1" applyBorder="1" applyAlignment="1">
      <alignment horizontal="center" vertical="center" wrapText="1"/>
    </xf>
    <xf numFmtId="167" fontId="39" fillId="36" borderId="20" xfId="25686" applyNumberFormat="1" applyFont="1" applyFill="1" applyBorder="1" applyAlignment="1" applyProtection="1">
      <alignment horizontal="right" vertical="center"/>
    </xf>
    <xf numFmtId="167" fontId="39" fillId="35" borderId="20" xfId="25686" applyNumberFormat="1" applyFont="1" applyFill="1" applyBorder="1" applyAlignment="1" applyProtection="1">
      <alignment horizontal="right" vertical="center"/>
      <protection locked="0"/>
    </xf>
    <xf numFmtId="167" fontId="39" fillId="35" borderId="20" xfId="25686" applyNumberFormat="1" applyFont="1" applyFill="1" applyBorder="1" applyAlignment="1" applyProtection="1">
      <alignment vertical="center"/>
      <protection locked="0"/>
    </xf>
    <xf numFmtId="167" fontId="39" fillId="36" borderId="20" xfId="25686" applyNumberFormat="1" applyFont="1" applyFill="1" applyBorder="1" applyAlignment="1" applyProtection="1">
      <alignment vertical="center"/>
    </xf>
    <xf numFmtId="167" fontId="39" fillId="35" borderId="48" xfId="25686" applyNumberFormat="1" applyFont="1" applyFill="1" applyBorder="1" applyAlignment="1" applyProtection="1">
      <alignment vertical="center"/>
      <protection locked="0"/>
    </xf>
    <xf numFmtId="167" fontId="39" fillId="35" borderId="23" xfId="25686" applyNumberFormat="1" applyFont="1" applyFill="1" applyBorder="1" applyAlignment="1" applyProtection="1">
      <alignment vertical="center"/>
      <protection locked="0"/>
    </xf>
    <xf numFmtId="167" fontId="39" fillId="36" borderId="20" xfId="183" applyNumberFormat="1" applyFont="1" applyFill="1" applyBorder="1" applyAlignment="1" applyProtection="1">
      <alignment horizontal="center" vertical="center"/>
    </xf>
    <xf numFmtId="167" fontId="39" fillId="35" borderId="20" xfId="25686" applyNumberFormat="1" applyFont="1" applyFill="1" applyBorder="1" applyAlignment="1" applyProtection="1">
      <alignment horizontal="center" vertical="top"/>
      <protection locked="0"/>
    </xf>
    <xf numFmtId="167" fontId="39" fillId="35" borderId="20" xfId="25686" applyNumberFormat="1" applyFont="1" applyFill="1" applyBorder="1" applyAlignment="1" applyProtection="1">
      <alignment vertical="top"/>
      <protection locked="0"/>
    </xf>
    <xf numFmtId="167" fontId="39" fillId="36" borderId="20" xfId="25686" applyNumberFormat="1" applyFont="1" applyFill="1" applyBorder="1" applyAlignment="1" applyProtection="1">
      <alignment vertical="top" wrapText="1"/>
    </xf>
    <xf numFmtId="167"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Border="1" applyAlignment="1">
      <alignment horizontal="center" vertical="top"/>
    </xf>
    <xf numFmtId="0" fontId="3" fillId="0" borderId="7" xfId="0" applyFont="1" applyBorder="1" applyAlignment="1">
      <alignment vertical="top" wrapText="1"/>
    </xf>
    <xf numFmtId="0" fontId="3" fillId="0" borderId="0" xfId="0" applyFont="1" applyBorder="1" applyAlignment="1">
      <alignment vertical="top" wrapText="1"/>
    </xf>
    <xf numFmtId="49" fontId="4" fillId="34" borderId="0" xfId="0" applyNumberFormat="1" applyFont="1" applyFill="1" applyBorder="1" applyAlignment="1">
      <alignment vertical="top" wrapText="1"/>
    </xf>
    <xf numFmtId="49" fontId="4" fillId="34" borderId="8" xfId="0" applyNumberFormat="1" applyFont="1" applyFill="1" applyBorder="1" applyAlignment="1">
      <alignment vertical="top" wrapText="1"/>
    </xf>
    <xf numFmtId="0" fontId="5" fillId="0" borderId="0" xfId="0" applyFont="1" applyBorder="1" applyAlignment="1">
      <alignment vertical="top"/>
    </xf>
    <xf numFmtId="0" fontId="4" fillId="0" borderId="0" xfId="0" applyFont="1" applyAlignment="1">
      <alignment vertical="top" wrapText="1"/>
    </xf>
    <xf numFmtId="0" fontId="4" fillId="0" borderId="8" xfId="0" applyFont="1" applyBorder="1" applyAlignment="1">
      <alignment vertical="top" wrapText="1"/>
    </xf>
    <xf numFmtId="0" fontId="7" fillId="0" borderId="0" xfId="0" applyFont="1" applyBorder="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8" xfId="0" applyFont="1" applyBorder="1" applyAlignment="1">
      <alignment vertical="top" wrapText="1"/>
    </xf>
    <xf numFmtId="0" fontId="4" fillId="0" borderId="0" xfId="0" applyFont="1" applyAlignment="1">
      <alignment vertical="center"/>
    </xf>
    <xf numFmtId="0" fontId="4" fillId="35" borderId="20" xfId="0"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vertical="top" wrapText="1"/>
    </xf>
    <xf numFmtId="0" fontId="4" fillId="0" borderId="0" xfId="0" applyFont="1" applyAlignment="1">
      <alignment horizontal="left" vertical="top" wrapText="1"/>
    </xf>
    <xf numFmtId="0" fontId="7" fillId="0" borderId="0" xfId="0" applyFont="1" applyAlignment="1">
      <alignment vertical="top"/>
    </xf>
    <xf numFmtId="0" fontId="5" fillId="34" borderId="0" xfId="0" applyFont="1" applyFill="1" applyAlignment="1">
      <alignment vertical="top" wrapText="1"/>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5" fillId="0" borderId="20" xfId="0" applyFont="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Alignment="1">
      <alignment vertical="top" wrapText="1"/>
    </xf>
    <xf numFmtId="0" fontId="5" fillId="0" borderId="8" xfId="0" applyFont="1" applyFill="1" applyBorder="1" applyAlignment="1">
      <alignment vertical="top" wrapText="1"/>
    </xf>
    <xf numFmtId="0" fontId="4" fillId="0" borderId="0" xfId="0" applyFont="1" applyFill="1"/>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7" fillId="0" borderId="0" xfId="0" applyFont="1" applyAlignment="1">
      <alignment vertical="top"/>
    </xf>
    <xf numFmtId="0" fontId="4" fillId="0" borderId="8" xfId="0" applyFont="1" applyBorder="1" applyAlignment="1">
      <alignment vertical="top" wrapText="1"/>
    </xf>
    <xf numFmtId="0" fontId="5" fillId="0" borderId="7" xfId="0" applyFont="1" applyBorder="1" applyAlignment="1">
      <alignment horizontal="right" vertical="top" wrapText="1" indent="1"/>
    </xf>
    <xf numFmtId="0" fontId="5" fillId="0" borderId="0" xfId="0" applyFont="1" applyBorder="1" applyAlignment="1">
      <alignment horizontal="right" vertical="top" wrapText="1" indent="1"/>
    </xf>
    <xf numFmtId="0" fontId="7" fillId="38" borderId="20" xfId="0" applyFont="1" applyFill="1" applyBorder="1" applyAlignment="1">
      <alignment horizontal="center" vertical="center" wrapText="1"/>
    </xf>
    <xf numFmtId="0" fontId="5" fillId="0" borderId="0" xfId="0" applyFont="1" applyBorder="1" applyAlignment="1">
      <alignment horizontal="right" vertical="top" indent="1"/>
    </xf>
    <xf numFmtId="0" fontId="5" fillId="0" borderId="20" xfId="0" applyFont="1" applyBorder="1" applyAlignment="1">
      <alignment horizontal="center" vertical="center" wrapText="1"/>
    </xf>
    <xf numFmtId="0" fontId="4" fillId="37" borderId="0" xfId="0" applyFont="1" applyFill="1" applyAlignment="1">
      <alignment horizontal="left" vertical="top"/>
    </xf>
    <xf numFmtId="168" fontId="4" fillId="37" borderId="0" xfId="0" quotePrefix="1" applyNumberFormat="1" applyFont="1" applyFill="1" applyAlignment="1">
      <alignment horizontal="left" vertical="top"/>
    </xf>
    <xf numFmtId="168" fontId="4" fillId="0" borderId="0" xfId="0" quotePrefix="1" applyNumberFormat="1" applyFont="1" applyAlignment="1">
      <alignment vertical="top"/>
    </xf>
    <xf numFmtId="15" fontId="4" fillId="0" borderId="0" xfId="0" quotePrefix="1" applyNumberFormat="1" applyFont="1"/>
    <xf numFmtId="15" fontId="4" fillId="39" borderId="0" xfId="0" quotePrefix="1" applyNumberFormat="1" applyFont="1" applyFill="1" applyAlignment="1">
      <alignment horizontal="left" vertical="top"/>
    </xf>
    <xf numFmtId="0" fontId="53" fillId="0" borderId="0" xfId="0" applyFont="1" applyAlignment="1">
      <alignment vertical="top"/>
    </xf>
    <xf numFmtId="169" fontId="39" fillId="36" borderId="20" xfId="25686" applyNumberFormat="1" applyFont="1" applyFill="1" applyBorder="1" applyAlignment="1" applyProtection="1">
      <alignment horizontal="right" vertical="top"/>
    </xf>
    <xf numFmtId="169" fontId="39" fillId="36" borderId="20" xfId="25686" applyNumberFormat="1" applyFont="1" applyFill="1" applyBorder="1" applyAlignment="1" applyProtection="1">
      <alignment horizontal="right" vertical="center" wrapText="1"/>
    </xf>
    <xf numFmtId="169" fontId="39" fillId="36" borderId="31" xfId="25686" applyNumberFormat="1" applyFont="1" applyFill="1" applyBorder="1" applyAlignment="1" applyProtection="1">
      <alignment horizontal="right" vertical="center" wrapText="1"/>
    </xf>
    <xf numFmtId="0" fontId="4" fillId="0" borderId="0" xfId="0" applyFont="1" applyFill="1" applyBorder="1"/>
    <xf numFmtId="0" fontId="4" fillId="0" borderId="8" xfId="0" applyFont="1" applyFill="1" applyBorder="1"/>
    <xf numFmtId="17" fontId="4" fillId="0" borderId="0" xfId="0" applyNumberFormat="1" applyFont="1" applyAlignment="1">
      <alignment vertical="top"/>
    </xf>
    <xf numFmtId="170" fontId="7" fillId="38" borderId="20" xfId="0" applyNumberFormat="1" applyFont="1" applyFill="1" applyBorder="1" applyAlignment="1">
      <alignment horizontal="center" vertical="center" wrapText="1"/>
    </xf>
    <xf numFmtId="0" fontId="4" fillId="0" borderId="0" xfId="0" applyFont="1" applyFill="1" applyBorder="1" applyAlignment="1">
      <alignment vertical="top" wrapText="1"/>
    </xf>
    <xf numFmtId="0" fontId="4" fillId="0" borderId="8" xfId="0" applyFont="1" applyFill="1" applyBorder="1" applyAlignment="1">
      <alignment vertical="top" wrapText="1"/>
    </xf>
    <xf numFmtId="165" fontId="39" fillId="36" borderId="46" xfId="25686" applyNumberFormat="1" applyFont="1" applyFill="1" applyBorder="1" applyAlignment="1" applyProtection="1">
      <alignment vertical="center"/>
    </xf>
    <xf numFmtId="165" fontId="39" fillId="36" borderId="20" xfId="25686" applyNumberFormat="1" applyFont="1" applyFill="1" applyBorder="1" applyAlignment="1" applyProtection="1">
      <alignment vertical="center"/>
    </xf>
    <xf numFmtId="0" fontId="5" fillId="0" borderId="7" xfId="0" applyFont="1" applyBorder="1" applyAlignment="1">
      <alignment horizontal="right" vertical="top" wrapText="1" indent="1"/>
    </xf>
    <xf numFmtId="0" fontId="7" fillId="0" borderId="0" xfId="0" applyFont="1" applyAlignment="1">
      <alignment vertical="top"/>
    </xf>
    <xf numFmtId="171" fontId="66" fillId="0" borderId="62" xfId="25689" applyNumberFormat="1" applyFont="1" applyBorder="1" applyAlignment="1">
      <alignment wrapText="1"/>
    </xf>
    <xf numFmtId="0" fontId="60" fillId="0" borderId="0" xfId="0" applyFont="1"/>
    <xf numFmtId="0" fontId="49" fillId="0" borderId="0" xfId="25692" applyFont="1"/>
    <xf numFmtId="0" fontId="49" fillId="0" borderId="0" xfId="0" applyFont="1" applyAlignment="1">
      <alignment horizontal="left" indent="1"/>
    </xf>
    <xf numFmtId="0" fontId="71" fillId="0" borderId="0" xfId="25689" applyFont="1"/>
    <xf numFmtId="0" fontId="71" fillId="0" borderId="0" xfId="25689" applyFont="1" applyAlignment="1">
      <alignment horizontal="center"/>
    </xf>
    <xf numFmtId="0" fontId="49" fillId="0" borderId="0" xfId="25689" applyFont="1"/>
    <xf numFmtId="0" fontId="71" fillId="0" borderId="62" xfId="25689" applyFont="1" applyBorder="1"/>
    <xf numFmtId="0" fontId="0" fillId="0" borderId="8" xfId="0" applyBorder="1"/>
    <xf numFmtId="0" fontId="49" fillId="0" borderId="0" xfId="25689" applyFont="1" applyAlignment="1">
      <alignment horizontal="center"/>
    </xf>
    <xf numFmtId="0" fontId="49" fillId="0" borderId="62" xfId="25689" applyFont="1" applyBorder="1"/>
    <xf numFmtId="0" fontId="9" fillId="0" borderId="0" xfId="25688" applyNumberFormat="1" applyFont="1" applyFill="1" applyBorder="1" applyAlignment="1">
      <alignment horizontal="left"/>
    </xf>
    <xf numFmtId="0" fontId="49" fillId="0" borderId="0" xfId="25688" applyNumberFormat="1" applyFont="1" applyFill="1" applyAlignment="1">
      <alignment horizontal="center"/>
    </xf>
    <xf numFmtId="0" fontId="49" fillId="0" borderId="0" xfId="0" applyFont="1"/>
    <xf numFmtId="171" fontId="49" fillId="0" borderId="0" xfId="25688" applyNumberFormat="1" applyFont="1" applyFill="1" applyBorder="1"/>
    <xf numFmtId="0" fontId="63" fillId="33" borderId="0" xfId="0" applyFont="1" applyFill="1" applyAlignment="1">
      <alignment vertical="top"/>
    </xf>
    <xf numFmtId="0" fontId="63" fillId="33" borderId="0" xfId="0" applyFont="1" applyFill="1" applyAlignment="1">
      <alignment vertical="top" wrapText="1"/>
    </xf>
    <xf numFmtId="0" fontId="69" fillId="0" borderId="0" xfId="0" applyFont="1"/>
    <xf numFmtId="0" fontId="60" fillId="0" borderId="8" xfId="0" applyFont="1" applyBorder="1"/>
    <xf numFmtId="0" fontId="60" fillId="0" borderId="0" xfId="0" applyFont="1" applyAlignment="1">
      <alignment horizontal="right"/>
    </xf>
    <xf numFmtId="0" fontId="10" fillId="0" borderId="0" xfId="25688" applyNumberFormat="1" applyFont="1" applyFill="1" applyBorder="1" applyAlignment="1">
      <alignment horizontal="left"/>
    </xf>
    <xf numFmtId="0" fontId="71" fillId="0" borderId="0" xfId="25688" applyNumberFormat="1" applyFont="1" applyFill="1" applyAlignment="1">
      <alignment horizontal="center"/>
    </xf>
    <xf numFmtId="0" fontId="0" fillId="0" borderId="0" xfId="0" applyAlignment="1">
      <alignment horizontal="right"/>
    </xf>
    <xf numFmtId="0" fontId="0" fillId="0" borderId="0" xfId="0" applyFill="1" applyBorder="1"/>
    <xf numFmtId="0" fontId="61" fillId="0" borderId="0" xfId="0" applyFont="1" applyFill="1" applyBorder="1"/>
    <xf numFmtId="167" fontId="61" fillId="0" borderId="0" xfId="25688" applyNumberFormat="1" applyFont="1" applyFill="1" applyBorder="1"/>
    <xf numFmtId="167" fontId="61" fillId="0" borderId="0" xfId="25688" applyNumberFormat="1" applyFont="1" applyFill="1" applyBorder="1" applyAlignment="1">
      <alignment horizontal="left"/>
    </xf>
    <xf numFmtId="0" fontId="61" fillId="0" borderId="0" xfId="0" applyFont="1" applyFill="1" applyBorder="1" applyAlignment="1">
      <alignment horizontal="center"/>
    </xf>
    <xf numFmtId="0" fontId="10" fillId="0" borderId="0" xfId="0" applyFont="1" applyFill="1" applyBorder="1"/>
    <xf numFmtId="167" fontId="10" fillId="0" borderId="0" xfId="25688" applyNumberFormat="1" applyFont="1" applyFill="1" applyBorder="1"/>
    <xf numFmtId="6" fontId="10" fillId="0" borderId="0" xfId="0" applyNumberFormat="1" applyFont="1" applyFill="1" applyBorder="1"/>
    <xf numFmtId="167" fontId="9" fillId="0" borderId="0" xfId="25688" applyNumberFormat="1" applyFont="1" applyFill="1" applyBorder="1" applyAlignment="1">
      <alignment horizontal="left"/>
    </xf>
    <xf numFmtId="1" fontId="10" fillId="0" borderId="0" xfId="0" applyNumberFormat="1" applyFont="1" applyFill="1" applyBorder="1" applyAlignment="1">
      <alignment horizontal="center"/>
    </xf>
    <xf numFmtId="0" fontId="9" fillId="0" borderId="0" xfId="0" applyFont="1" applyFill="1" applyBorder="1"/>
    <xf numFmtId="167" fontId="9" fillId="0" borderId="0" xfId="25688" applyNumberFormat="1" applyFont="1" applyFill="1" applyBorder="1"/>
    <xf numFmtId="1" fontId="9" fillId="0" borderId="0" xfId="0" applyNumberFormat="1" applyFont="1" applyFill="1" applyBorder="1" applyAlignment="1">
      <alignment horizontal="center"/>
    </xf>
    <xf numFmtId="0" fontId="61" fillId="44" borderId="0" xfId="0" applyFont="1" applyFill="1" applyBorder="1" applyAlignment="1">
      <alignment vertical="center"/>
    </xf>
    <xf numFmtId="167" fontId="61" fillId="44" borderId="0" xfId="25688" applyNumberFormat="1" applyFont="1" applyFill="1" applyBorder="1" applyAlignment="1">
      <alignment vertical="center"/>
    </xf>
    <xf numFmtId="167" fontId="61" fillId="44" borderId="0" xfId="25688" applyNumberFormat="1" applyFont="1" applyFill="1" applyBorder="1" applyAlignment="1">
      <alignment horizontal="left" vertical="center"/>
    </xf>
    <xf numFmtId="0" fontId="61" fillId="44" borderId="0" xfId="0" applyFont="1" applyFill="1" applyBorder="1" applyAlignment="1">
      <alignment horizontal="center" vertical="center"/>
    </xf>
    <xf numFmtId="0" fontId="62" fillId="0" borderId="0" xfId="25689" applyFont="1" applyFill="1" applyBorder="1" applyAlignment="1">
      <alignment wrapText="1"/>
    </xf>
    <xf numFmtId="0" fontId="63" fillId="0" borderId="0" xfId="25689" applyFont="1" applyFill="1" applyBorder="1"/>
    <xf numFmtId="0" fontId="64" fillId="0" borderId="0" xfId="0" applyFont="1" applyFill="1" applyBorder="1"/>
    <xf numFmtId="0" fontId="62" fillId="0" borderId="0" xfId="25689" applyFont="1" applyFill="1" applyBorder="1" applyAlignment="1">
      <alignment horizontal="center" wrapText="1"/>
    </xf>
    <xf numFmtId="171" fontId="65" fillId="0" borderId="0" xfId="25690" applyNumberFormat="1" applyFont="1" applyFill="1" applyBorder="1" applyAlignment="1">
      <alignment horizontal="left" wrapText="1"/>
    </xf>
    <xf numFmtId="43" fontId="65" fillId="0" borderId="0" xfId="25690" applyNumberFormat="1" applyFont="1" applyFill="1" applyBorder="1" applyAlignment="1">
      <alignment horizontal="left" wrapText="1"/>
    </xf>
    <xf numFmtId="0" fontId="66" fillId="0" borderId="0" xfId="25689" applyFont="1" applyFill="1" applyBorder="1"/>
    <xf numFmtId="0" fontId="66" fillId="0" borderId="0" xfId="25689" applyFont="1" applyFill="1" applyBorder="1" applyAlignment="1">
      <alignment horizontal="center"/>
    </xf>
    <xf numFmtId="0" fontId="66" fillId="0" borderId="0" xfId="25689" applyFont="1" applyFill="1" applyBorder="1" applyAlignment="1">
      <alignment horizontal="left"/>
    </xf>
    <xf numFmtId="171" fontId="66" fillId="0" borderId="0" xfId="25689" applyNumberFormat="1" applyFont="1" applyFill="1" applyBorder="1" applyAlignment="1">
      <alignment wrapText="1"/>
    </xf>
    <xf numFmtId="0" fontId="68" fillId="0" borderId="0" xfId="25689" applyFont="1" applyFill="1" applyBorder="1"/>
    <xf numFmtId="0" fontId="68" fillId="0" borderId="0" xfId="25689" applyFont="1" applyFill="1" applyBorder="1" applyAlignment="1">
      <alignment horizontal="center"/>
    </xf>
    <xf numFmtId="0" fontId="68" fillId="0" borderId="0" xfId="25689" applyFont="1" applyFill="1" applyBorder="1" applyAlignment="1">
      <alignment horizontal="left"/>
    </xf>
    <xf numFmtId="171" fontId="68" fillId="0" borderId="0" xfId="25689" applyNumberFormat="1" applyFont="1" applyFill="1" applyBorder="1" applyAlignment="1">
      <alignment wrapText="1"/>
    </xf>
    <xf numFmtId="0" fontId="66" fillId="0" borderId="0" xfId="0" applyFont="1" applyFill="1" applyBorder="1"/>
    <xf numFmtId="167" fontId="66" fillId="0" borderId="0" xfId="25689" applyNumberFormat="1" applyFont="1" applyFill="1" applyBorder="1"/>
    <xf numFmtId="0" fontId="60" fillId="0" borderId="0" xfId="0" applyFont="1" applyFill="1" applyBorder="1"/>
    <xf numFmtId="0" fontId="68" fillId="0" borderId="0" xfId="0" applyFont="1" applyFill="1" applyBorder="1"/>
    <xf numFmtId="167" fontId="68" fillId="0" borderId="0" xfId="25689" applyNumberFormat="1" applyFont="1" applyFill="1" applyBorder="1"/>
    <xf numFmtId="167" fontId="10" fillId="0" borderId="8" xfId="25688" applyNumberFormat="1" applyFont="1" applyFill="1" applyBorder="1"/>
    <xf numFmtId="167" fontId="9" fillId="0" borderId="8" xfId="25688" applyNumberFormat="1" applyFont="1" applyFill="1" applyBorder="1"/>
    <xf numFmtId="0" fontId="0" fillId="0" borderId="0" xfId="0" applyFont="1"/>
    <xf numFmtId="1" fontId="10" fillId="0" borderId="7" xfId="0" applyNumberFormat="1" applyFont="1" applyFill="1" applyBorder="1" applyAlignment="1">
      <alignment horizontal="center"/>
    </xf>
    <xf numFmtId="1" fontId="10" fillId="0" borderId="8" xfId="0" applyNumberFormat="1" applyFont="1" applyFill="1" applyBorder="1" applyAlignment="1">
      <alignment horizontal="center"/>
    </xf>
    <xf numFmtId="1" fontId="9" fillId="0" borderId="7" xfId="0" applyNumberFormat="1" applyFont="1" applyFill="1" applyBorder="1" applyAlignment="1">
      <alignment horizontal="center"/>
    </xf>
    <xf numFmtId="1" fontId="9" fillId="0" borderId="8" xfId="0" applyNumberFormat="1" applyFont="1" applyFill="1" applyBorder="1" applyAlignment="1">
      <alignment horizontal="center"/>
    </xf>
    <xf numFmtId="0" fontId="60" fillId="0" borderId="61" xfId="0" applyFont="1" applyBorder="1"/>
    <xf numFmtId="0" fontId="60" fillId="0" borderId="0" xfId="0" applyFont="1" applyBorder="1"/>
    <xf numFmtId="0" fontId="0" fillId="0" borderId="61" xfId="0" applyBorder="1"/>
    <xf numFmtId="0" fontId="0" fillId="0" borderId="0" xfId="0" applyBorder="1"/>
    <xf numFmtId="0" fontId="66" fillId="0" borderId="0" xfId="25689" applyFont="1" applyBorder="1"/>
    <xf numFmtId="0" fontId="67" fillId="0" borderId="0" xfId="25689" applyFont="1" applyBorder="1"/>
    <xf numFmtId="0" fontId="66" fillId="43" borderId="0" xfId="25689" applyFont="1" applyFill="1" applyBorder="1"/>
    <xf numFmtId="0" fontId="66" fillId="0" borderId="0" xfId="25689" applyFont="1" applyBorder="1" applyAlignment="1">
      <alignment horizontal="center"/>
    </xf>
    <xf numFmtId="0" fontId="66" fillId="0" borderId="0" xfId="25689" applyFont="1" applyBorder="1" applyAlignment="1">
      <alignment horizontal="left"/>
    </xf>
    <xf numFmtId="171" fontId="66" fillId="0" borderId="0" xfId="25689" applyNumberFormat="1" applyFont="1" applyBorder="1" applyAlignment="1">
      <alignment wrapText="1"/>
    </xf>
    <xf numFmtId="0" fontId="68" fillId="0" borderId="0" xfId="25689" applyFont="1" applyBorder="1"/>
    <xf numFmtId="0" fontId="68" fillId="43" borderId="0" xfId="25689" applyFont="1" applyFill="1" applyBorder="1"/>
    <xf numFmtId="0" fontId="68" fillId="0" borderId="0" xfId="25689" applyFont="1" applyBorder="1" applyAlignment="1">
      <alignment horizontal="center"/>
    </xf>
    <xf numFmtId="0" fontId="68" fillId="0" borderId="0" xfId="25689" applyFont="1" applyBorder="1" applyAlignment="1">
      <alignment horizontal="left"/>
    </xf>
    <xf numFmtId="171" fontId="68" fillId="0" borderId="0" xfId="25689" applyNumberFormat="1" applyFont="1" applyBorder="1" applyAlignment="1"/>
    <xf numFmtId="0" fontId="66" fillId="0" borderId="0" xfId="0" applyFont="1" applyBorder="1"/>
    <xf numFmtId="167" fontId="66" fillId="0" borderId="0" xfId="25689" applyNumberFormat="1" applyFont="1" applyBorder="1"/>
    <xf numFmtId="0" fontId="68" fillId="0" borderId="0" xfId="0" applyFont="1" applyBorder="1"/>
    <xf numFmtId="167" fontId="68" fillId="0" borderId="0" xfId="25689" applyNumberFormat="1" applyFont="1" applyBorder="1"/>
    <xf numFmtId="171" fontId="68" fillId="0" borderId="0" xfId="25689" applyNumberFormat="1" applyFont="1" applyBorder="1"/>
    <xf numFmtId="0" fontId="10" fillId="0" borderId="0" xfId="25689" applyFont="1" applyFill="1" applyBorder="1"/>
    <xf numFmtId="0" fontId="67" fillId="0" borderId="0" xfId="25689" applyFont="1" applyFill="1" applyBorder="1"/>
    <xf numFmtId="167" fontId="10" fillId="0" borderId="0" xfId="25691" applyNumberFormat="1" applyFont="1" applyFill="1" applyBorder="1"/>
    <xf numFmtId="0" fontId="9" fillId="0" borderId="0" xfId="25689" applyFont="1" applyFill="1" applyBorder="1"/>
    <xf numFmtId="0" fontId="69" fillId="0" borderId="0" xfId="25689" applyFont="1" applyFill="1" applyBorder="1"/>
    <xf numFmtId="167" fontId="9" fillId="0" borderId="0" xfId="25691" applyNumberFormat="1" applyFont="1" applyFill="1" applyBorder="1"/>
    <xf numFmtId="37" fontId="66" fillId="0" borderId="0" xfId="25689" applyNumberFormat="1" applyFont="1" applyFill="1" applyBorder="1"/>
    <xf numFmtId="37" fontId="68" fillId="0" borderId="0" xfId="25689" applyNumberFormat="1" applyFont="1" applyFill="1" applyBorder="1"/>
    <xf numFmtId="167" fontId="10" fillId="0" borderId="8" xfId="25691" applyNumberFormat="1" applyFont="1" applyFill="1" applyBorder="1"/>
    <xf numFmtId="167" fontId="9" fillId="0" borderId="8" xfId="25691" applyNumberFormat="1" applyFont="1" applyFill="1" applyBorder="1"/>
    <xf numFmtId="167" fontId="10" fillId="0" borderId="7" xfId="25691" applyNumberFormat="1" applyFont="1" applyFill="1" applyBorder="1"/>
    <xf numFmtId="167" fontId="9" fillId="0" borderId="7" xfId="25691" applyNumberFormat="1" applyFont="1" applyFill="1" applyBorder="1"/>
    <xf numFmtId="167" fontId="10" fillId="0" borderId="61" xfId="25691" applyNumberFormat="1" applyFont="1" applyFill="1" applyBorder="1"/>
    <xf numFmtId="167" fontId="9" fillId="0" borderId="61" xfId="25691" applyNumberFormat="1" applyFont="1" applyFill="1" applyBorder="1"/>
    <xf numFmtId="0" fontId="14" fillId="44" borderId="0" xfId="25689" applyFont="1" applyFill="1" applyBorder="1" applyAlignment="1">
      <alignment vertical="center"/>
    </xf>
    <xf numFmtId="171" fontId="71" fillId="34" borderId="0" xfId="25692" applyNumberFormat="1" applyFont="1" applyFill="1" applyBorder="1"/>
    <xf numFmtId="0" fontId="71" fillId="34" borderId="0" xfId="25692" applyFont="1" applyFill="1" applyBorder="1"/>
    <xf numFmtId="0" fontId="49" fillId="0" borderId="0" xfId="0" applyFont="1" applyBorder="1" applyAlignment="1">
      <alignment horizontal="left" indent="1"/>
    </xf>
    <xf numFmtId="0" fontId="69" fillId="0" borderId="0" xfId="0" applyFont="1" applyFill="1"/>
    <xf numFmtId="0" fontId="49" fillId="0" borderId="0" xfId="25692" applyFont="1" applyFill="1" applyBorder="1"/>
    <xf numFmtId="0" fontId="0" fillId="0" borderId="0" xfId="0" applyFill="1"/>
    <xf numFmtId="0" fontId="49" fillId="0" borderId="0" xfId="25692" applyFont="1" applyFill="1"/>
    <xf numFmtId="0" fontId="74" fillId="0" borderId="0" xfId="0" applyFont="1"/>
    <xf numFmtId="0" fontId="42" fillId="0" borderId="0" xfId="0" applyFont="1" applyAlignment="1">
      <alignment horizontal="left" indent="1"/>
    </xf>
    <xf numFmtId="0" fontId="42" fillId="0" borderId="0" xfId="0" applyFont="1" applyBorder="1" applyAlignment="1">
      <alignment horizontal="left" indent="1"/>
    </xf>
    <xf numFmtId="0" fontId="42" fillId="0" borderId="0" xfId="25692" applyFont="1"/>
    <xf numFmtId="0" fontId="42" fillId="0" borderId="0" xfId="25692" applyFont="1" applyFill="1"/>
    <xf numFmtId="0" fontId="70" fillId="0" borderId="0" xfId="25692" applyFont="1" applyFill="1" applyBorder="1" applyAlignment="1"/>
    <xf numFmtId="0" fontId="70" fillId="0" borderId="0" xfId="25692" applyFont="1" applyFill="1" applyBorder="1"/>
    <xf numFmtId="0" fontId="49" fillId="0" borderId="0" xfId="0" applyFont="1" applyFill="1" applyAlignment="1">
      <alignment horizontal="left" indent="1"/>
    </xf>
    <xf numFmtId="0" fontId="49" fillId="0" borderId="62" xfId="0" applyFont="1" applyFill="1" applyBorder="1" applyAlignment="1">
      <alignment horizontal="left" indent="1"/>
    </xf>
    <xf numFmtId="0" fontId="60" fillId="0" borderId="7" xfId="0" applyFont="1" applyBorder="1"/>
    <xf numFmtId="0" fontId="0" fillId="0" borderId="7" xfId="0" applyBorder="1"/>
    <xf numFmtId="0" fontId="14" fillId="44" borderId="17" xfId="25689" applyFont="1" applyFill="1" applyBorder="1"/>
    <xf numFmtId="0" fontId="62" fillId="44" borderId="17" xfId="25689" applyFont="1" applyFill="1" applyBorder="1" applyAlignment="1">
      <alignment wrapText="1"/>
    </xf>
    <xf numFmtId="0" fontId="61" fillId="44" borderId="17" xfId="0" applyFont="1" applyFill="1" applyBorder="1"/>
    <xf numFmtId="0" fontId="14" fillId="44" borderId="17" xfId="25689" applyFont="1" applyFill="1" applyBorder="1" applyAlignment="1">
      <alignment wrapText="1"/>
    </xf>
    <xf numFmtId="0" fontId="14" fillId="44" borderId="72" xfId="25689" applyFont="1" applyFill="1" applyBorder="1" applyAlignment="1">
      <alignment wrapText="1"/>
    </xf>
    <xf numFmtId="0" fontId="14" fillId="44" borderId="17" xfId="25689" applyFont="1" applyFill="1" applyBorder="1" applyAlignment="1">
      <alignment vertical="center" wrapText="1"/>
    </xf>
    <xf numFmtId="0" fontId="63" fillId="44" borderId="17" xfId="25688" applyNumberFormat="1" applyFont="1" applyFill="1" applyBorder="1" applyAlignment="1" applyProtection="1">
      <alignment horizontal="left"/>
    </xf>
    <xf numFmtId="0" fontId="63" fillId="44" borderId="17" xfId="25688" applyNumberFormat="1" applyFont="1" applyFill="1" applyBorder="1" applyAlignment="1" applyProtection="1">
      <alignment horizontal="left" wrapText="1"/>
    </xf>
    <xf numFmtId="0" fontId="14" fillId="44" borderId="17" xfId="25689" applyFont="1" applyFill="1" applyBorder="1" applyAlignment="1">
      <alignment vertical="center"/>
    </xf>
    <xf numFmtId="0" fontId="63" fillId="44" borderId="17" xfId="25689" applyFont="1" applyFill="1" applyBorder="1" applyAlignment="1">
      <alignment vertical="center" wrapText="1"/>
    </xf>
    <xf numFmtId="0" fontId="64" fillId="44" borderId="17" xfId="0" applyFont="1" applyFill="1" applyBorder="1" applyAlignment="1">
      <alignment vertical="center"/>
    </xf>
    <xf numFmtId="0" fontId="62" fillId="44" borderId="15" xfId="25689" applyFont="1" applyFill="1" applyBorder="1" applyAlignment="1">
      <alignment wrapText="1"/>
    </xf>
    <xf numFmtId="0" fontId="63" fillId="44" borderId="15" xfId="25689" applyFont="1" applyFill="1" applyBorder="1"/>
    <xf numFmtId="0" fontId="64" fillId="44" borderId="15" xfId="0" applyFont="1" applyFill="1" applyBorder="1"/>
    <xf numFmtId="0" fontId="62" fillId="44" borderId="15" xfId="25689" applyFont="1" applyFill="1" applyBorder="1" applyAlignment="1">
      <alignment horizontal="center" wrapText="1"/>
    </xf>
    <xf numFmtId="171" fontId="65" fillId="44" borderId="73" xfId="25690" applyNumberFormat="1" applyFont="1" applyFill="1" applyBorder="1" applyAlignment="1">
      <alignment horizontal="left" wrapText="1"/>
    </xf>
    <xf numFmtId="171" fontId="65" fillId="44" borderId="15" xfId="25690" applyNumberFormat="1" applyFont="1" applyFill="1" applyBorder="1" applyAlignment="1">
      <alignment horizontal="left" wrapText="1"/>
    </xf>
    <xf numFmtId="43" fontId="65" fillId="44" borderId="15" xfId="25690" applyNumberFormat="1" applyFont="1" applyFill="1" applyBorder="1" applyAlignment="1">
      <alignment horizontal="left" wrapText="1"/>
    </xf>
    <xf numFmtId="43" fontId="65" fillId="44" borderId="12" xfId="25690" applyNumberFormat="1" applyFont="1" applyFill="1" applyBorder="1" applyAlignment="1">
      <alignment horizontal="left" wrapText="1"/>
    </xf>
    <xf numFmtId="0" fontId="62" fillId="44" borderId="9" xfId="25689" applyFont="1" applyFill="1" applyBorder="1" applyAlignment="1">
      <alignment wrapText="1"/>
    </xf>
    <xf numFmtId="0" fontId="62" fillId="44" borderId="16" xfId="25689" applyFont="1" applyFill="1" applyBorder="1" applyAlignment="1">
      <alignment wrapText="1"/>
    </xf>
    <xf numFmtId="0" fontId="0" fillId="42" borderId="66" xfId="0" applyFill="1" applyBorder="1"/>
    <xf numFmtId="0" fontId="0" fillId="42" borderId="71" xfId="0" applyFill="1" applyBorder="1"/>
    <xf numFmtId="171" fontId="49" fillId="0" borderId="74" xfId="25688" applyNumberFormat="1" applyFont="1" applyFill="1" applyBorder="1"/>
    <xf numFmtId="171" fontId="49" fillId="0" borderId="65" xfId="25688" applyNumberFormat="1" applyFont="1" applyFill="1" applyBorder="1"/>
    <xf numFmtId="171" fontId="49" fillId="0" borderId="66" xfId="25688" applyNumberFormat="1" applyFont="1" applyFill="1" applyBorder="1"/>
    <xf numFmtId="170" fontId="41" fillId="44" borderId="0" xfId="0" applyNumberFormat="1" applyFont="1" applyFill="1" applyBorder="1" applyAlignment="1">
      <alignment horizontal="center" vertical="center" wrapText="1"/>
    </xf>
    <xf numFmtId="170" fontId="41" fillId="0" borderId="0" xfId="0" applyNumberFormat="1" applyFont="1" applyFill="1" applyBorder="1" applyAlignment="1">
      <alignment horizontal="center" vertical="center" wrapText="1"/>
    </xf>
    <xf numFmtId="0" fontId="14" fillId="0" borderId="0" xfId="25689" applyFont="1" applyFill="1" applyBorder="1" applyAlignment="1">
      <alignment vertical="center"/>
    </xf>
    <xf numFmtId="171" fontId="71" fillId="0" borderId="0" xfId="25692" applyNumberFormat="1" applyFont="1" applyFill="1" applyBorder="1"/>
    <xf numFmtId="0" fontId="71" fillId="0" borderId="0" xfId="25692" applyFont="1" applyFill="1" applyBorder="1"/>
    <xf numFmtId="0" fontId="49" fillId="0" borderId="0" xfId="0" applyFont="1" applyFill="1" applyBorder="1" applyAlignment="1">
      <alignment horizontal="left" indent="1"/>
    </xf>
    <xf numFmtId="0" fontId="42" fillId="0" borderId="0" xfId="0" applyFont="1" applyFill="1" applyBorder="1" applyAlignment="1">
      <alignment horizontal="left" indent="1"/>
    </xf>
    <xf numFmtId="0" fontId="63" fillId="0" borderId="0" xfId="25689" applyFont="1" applyFill="1" applyBorder="1" applyAlignment="1">
      <alignment vertical="center" wrapText="1"/>
    </xf>
    <xf numFmtId="0" fontId="64" fillId="0" borderId="0" xfId="0" applyFont="1" applyFill="1" applyBorder="1" applyAlignment="1">
      <alignment vertical="center"/>
    </xf>
    <xf numFmtId="0" fontId="14" fillId="0" borderId="0" xfId="25689" applyFont="1" applyFill="1" applyBorder="1" applyAlignment="1">
      <alignment vertical="center" wrapText="1"/>
    </xf>
    <xf numFmtId="0" fontId="69" fillId="0" borderId="0" xfId="0" applyFont="1" applyFill="1" applyBorder="1"/>
    <xf numFmtId="0" fontId="74" fillId="0" borderId="0" xfId="0" applyFont="1" applyFill="1" applyBorder="1"/>
    <xf numFmtId="0" fontId="42" fillId="0" borderId="0" xfId="25692" applyFont="1" applyFill="1" applyBorder="1"/>
    <xf numFmtId="0" fontId="14" fillId="0" borderId="0" xfId="25689" applyFont="1" applyFill="1" applyBorder="1"/>
    <xf numFmtId="0" fontId="63" fillId="0" borderId="0" xfId="25688" applyNumberFormat="1" applyFont="1" applyFill="1" applyBorder="1" applyAlignment="1" applyProtection="1">
      <alignment horizontal="left"/>
    </xf>
    <xf numFmtId="0" fontId="63" fillId="0" borderId="0" xfId="25688" applyNumberFormat="1" applyFont="1" applyFill="1" applyBorder="1" applyAlignment="1" applyProtection="1">
      <alignment horizontal="left" wrapText="1"/>
    </xf>
    <xf numFmtId="0" fontId="14" fillId="0" borderId="0" xfId="25689" applyFont="1" applyFill="1" applyBorder="1" applyAlignment="1">
      <alignment wrapText="1"/>
    </xf>
    <xf numFmtId="0" fontId="71" fillId="0" borderId="0" xfId="25689" applyFont="1" applyFill="1" applyBorder="1"/>
    <xf numFmtId="0" fontId="71" fillId="0" borderId="0" xfId="25689" applyFont="1" applyFill="1" applyBorder="1" applyAlignment="1">
      <alignment horizontal="center"/>
    </xf>
    <xf numFmtId="0" fontId="49" fillId="0" borderId="0" xfId="25689" applyFont="1" applyFill="1" applyBorder="1"/>
    <xf numFmtId="0" fontId="0" fillId="0" borderId="0" xfId="0" applyFont="1" applyFill="1" applyBorder="1"/>
    <xf numFmtId="0" fontId="49" fillId="0" borderId="0" xfId="25689" applyFont="1" applyFill="1" applyBorder="1" applyAlignment="1">
      <alignment horizontal="center"/>
    </xf>
    <xf numFmtId="0" fontId="60" fillId="0" borderId="0" xfId="0" applyFont="1" applyFill="1" applyBorder="1" applyAlignment="1">
      <alignment horizontal="right"/>
    </xf>
    <xf numFmtId="0" fontId="71" fillId="0" borderId="0" xfId="25688" applyNumberFormat="1" applyFont="1" applyFill="1" applyBorder="1" applyAlignment="1">
      <alignment horizontal="center"/>
    </xf>
    <xf numFmtId="0" fontId="0" fillId="0" borderId="0" xfId="0" applyFill="1" applyBorder="1" applyAlignment="1">
      <alignment horizontal="right"/>
    </xf>
    <xf numFmtId="0" fontId="49" fillId="0" borderId="0" xfId="25688" applyNumberFormat="1" applyFont="1" applyFill="1" applyBorder="1" applyAlignment="1">
      <alignment horizontal="center"/>
    </xf>
    <xf numFmtId="0" fontId="49" fillId="0" borderId="0" xfId="0" applyFont="1" applyFill="1" applyBorder="1"/>
    <xf numFmtId="171" fontId="66" fillId="0" borderId="62" xfId="25689" applyNumberFormat="1" applyFont="1" applyBorder="1" applyAlignment="1"/>
    <xf numFmtId="171" fontId="68" fillId="0" borderId="62" xfId="25689" applyNumberFormat="1" applyFont="1" applyBorder="1" applyAlignment="1"/>
    <xf numFmtId="171" fontId="68" fillId="0" borderId="62" xfId="25689" applyNumberFormat="1" applyFont="1" applyBorder="1" applyAlignment="1">
      <alignment wrapText="1"/>
    </xf>
    <xf numFmtId="0" fontId="66" fillId="46" borderId="0" xfId="25689" applyFont="1" applyFill="1"/>
    <xf numFmtId="0" fontId="68" fillId="46" borderId="0" xfId="25689" applyFont="1" applyFill="1"/>
    <xf numFmtId="0" fontId="60" fillId="0" borderId="0" xfId="0" applyFont="1" applyFill="1" applyBorder="1" applyAlignment="1"/>
    <xf numFmtId="0" fontId="60" fillId="0" borderId="0" xfId="0" applyFont="1" applyBorder="1" applyAlignment="1"/>
    <xf numFmtId="171" fontId="66" fillId="0" borderId="62" xfId="25689" applyNumberFormat="1" applyFont="1" applyFill="1" applyBorder="1" applyAlignment="1">
      <alignment wrapText="1"/>
    </xf>
    <xf numFmtId="0" fontId="60" fillId="0" borderId="61" xfId="0" applyFont="1" applyFill="1" applyBorder="1"/>
    <xf numFmtId="171" fontId="68" fillId="0" borderId="0" xfId="25689" applyNumberFormat="1" applyFont="1" applyFill="1" applyBorder="1" applyAlignment="1"/>
    <xf numFmtId="0" fontId="0" fillId="0" borderId="61" xfId="0" applyFill="1" applyBorder="1"/>
    <xf numFmtId="171" fontId="68" fillId="0" borderId="0" xfId="25689" applyNumberFormat="1" applyFont="1" applyFill="1" applyBorder="1"/>
    <xf numFmtId="0" fontId="49" fillId="0" borderId="74" xfId="25692" applyFont="1" applyFill="1" applyBorder="1"/>
    <xf numFmtId="0" fontId="49" fillId="0" borderId="66" xfId="25692" applyFont="1" applyFill="1" applyBorder="1"/>
    <xf numFmtId="0" fontId="49" fillId="0" borderId="7" xfId="25692" applyFont="1" applyFill="1" applyBorder="1"/>
    <xf numFmtId="0" fontId="0" fillId="39" borderId="0" xfId="0" applyFill="1"/>
    <xf numFmtId="0" fontId="14" fillId="44" borderId="13" xfId="25689" applyFont="1" applyFill="1" applyBorder="1" applyAlignment="1">
      <alignment vertical="center"/>
    </xf>
    <xf numFmtId="0" fontId="7" fillId="38" borderId="20" xfId="0" applyFont="1" applyFill="1" applyBorder="1" applyAlignment="1">
      <alignment horizontal="center" vertical="center" wrapText="1"/>
    </xf>
    <xf numFmtId="170" fontId="41" fillId="44" borderId="8" xfId="0" applyNumberFormat="1" applyFont="1" applyFill="1" applyBorder="1" applyAlignment="1">
      <alignment horizontal="center" vertical="center" wrapText="1"/>
    </xf>
    <xf numFmtId="0" fontId="75" fillId="0" borderId="0" xfId="0" applyFont="1" applyFill="1" applyBorder="1" applyAlignment="1"/>
    <xf numFmtId="6" fontId="66" fillId="0" borderId="0" xfId="25689" applyNumberFormat="1" applyFont="1" applyFill="1" applyBorder="1"/>
    <xf numFmtId="0" fontId="48" fillId="42"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Border="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39" fillId="35" borderId="22"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wrapText="1" indent="1"/>
    </xf>
    <xf numFmtId="0" fontId="4" fillId="0" borderId="0" xfId="0" applyFont="1" applyBorder="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5" fillId="0" borderId="35" xfId="0" applyFont="1" applyBorder="1" applyAlignment="1">
      <alignment horizontal="left" vertical="center" wrapText="1"/>
    </xf>
    <xf numFmtId="0" fontId="5" fillId="0" borderId="20"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Border="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3" fillId="0" borderId="7" xfId="0" applyFont="1" applyBorder="1" applyAlignment="1" applyProtection="1">
      <alignment horizontal="left" vertical="top" wrapText="1"/>
      <protection locked="0"/>
    </xf>
    <xf numFmtId="0" fontId="43" fillId="0" borderId="0" xfId="0" applyFont="1" applyBorder="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Border="1" applyAlignment="1">
      <alignment horizontal="left" vertical="top" wrapText="1"/>
    </xf>
    <xf numFmtId="0" fontId="5" fillId="34" borderId="8" xfId="0" applyFont="1" applyFill="1" applyBorder="1" applyAlignment="1">
      <alignment horizontal="left" vertical="top"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top" wrapText="1" indent="1"/>
    </xf>
    <xf numFmtId="0" fontId="5" fillId="0" borderId="0" xfId="0" applyFont="1" applyBorder="1" applyAlignment="1">
      <alignment horizontal="left" vertical="top" wrapText="1" indent="1"/>
    </xf>
    <xf numFmtId="0" fontId="5" fillId="0" borderId="8" xfId="0" applyFont="1" applyBorder="1" applyAlignment="1">
      <alignment horizontal="left" vertical="top" wrapText="1" indent="1"/>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right" vertical="center" wrapText="1" indent="1"/>
    </xf>
    <xf numFmtId="0" fontId="5" fillId="0" borderId="0" xfId="0" applyFont="1" applyBorder="1" applyAlignment="1">
      <alignment horizontal="right" vertical="center" wrapText="1" indent="1"/>
    </xf>
    <xf numFmtId="0" fontId="4" fillId="0" borderId="0" xfId="0" applyFont="1" applyBorder="1" applyAlignment="1">
      <alignment horizontal="left" vertical="center" wrapText="1" indent="1"/>
    </xf>
    <xf numFmtId="0" fontId="4" fillId="0" borderId="8" xfId="0" applyFont="1" applyBorder="1" applyAlignment="1">
      <alignment horizontal="left" vertical="center" wrapText="1" inden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0" xfId="0" applyFont="1" applyFill="1" applyBorder="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9" fillId="0" borderId="7" xfId="0" applyFont="1" applyBorder="1" applyAlignment="1" applyProtection="1">
      <alignment horizontal="left" vertical="top" wrapText="1"/>
      <protection locked="0"/>
    </xf>
    <xf numFmtId="0" fontId="59" fillId="0" borderId="0" xfId="0" applyFont="1" applyBorder="1" applyAlignment="1" applyProtection="1">
      <alignment horizontal="left" vertical="top" wrapText="1"/>
      <protection locked="0"/>
    </xf>
    <xf numFmtId="0" fontId="59" fillId="0" borderId="8" xfId="0" applyFont="1" applyBorder="1" applyAlignment="1" applyProtection="1">
      <alignment horizontal="left" vertical="top" wrapText="1"/>
      <protection locked="0"/>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4" fillId="0" borderId="35" xfId="0" applyFont="1" applyBorder="1" applyAlignment="1">
      <alignment horizontal="left" vertical="top" wrapText="1" indent="1"/>
    </xf>
    <xf numFmtId="0" fontId="4" fillId="0" borderId="20" xfId="0" applyFont="1" applyBorder="1" applyAlignment="1">
      <alignment horizontal="left" vertical="top" wrapText="1" indent="1"/>
    </xf>
    <xf numFmtId="0" fontId="41" fillId="33" borderId="7" xfId="0" applyFont="1" applyFill="1" applyBorder="1" applyAlignment="1">
      <alignment horizontal="center" vertical="top"/>
    </xf>
    <xf numFmtId="0" fontId="41" fillId="33" borderId="0" xfId="0" applyFont="1" applyFill="1" applyBorder="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Border="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4" fillId="35" borderId="7" xfId="0" applyFont="1" applyFill="1" applyBorder="1" applyAlignment="1" applyProtection="1">
      <alignment horizontal="left" vertical="top" wrapText="1"/>
      <protection locked="0"/>
    </xf>
    <xf numFmtId="0" fontId="4" fillId="35" borderId="0" xfId="0" applyFont="1" applyFill="1" applyBorder="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7" fillId="34" borderId="35" xfId="0" applyFont="1" applyFill="1" applyBorder="1" applyAlignment="1">
      <alignment horizontal="center" vertical="center"/>
    </xf>
    <xf numFmtId="0" fontId="6" fillId="34" borderId="7" xfId="0" applyFont="1" applyFill="1" applyBorder="1" applyAlignment="1">
      <alignment horizontal="center" vertical="top" wrapText="1"/>
    </xf>
    <xf numFmtId="0" fontId="39" fillId="35" borderId="44" xfId="183" applyNumberFormat="1" applyFont="1" applyFill="1" applyBorder="1" applyAlignment="1" applyProtection="1">
      <alignment horizontal="left" vertical="center" wrapText="1"/>
      <protection locked="0"/>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6" fillId="37" borderId="7" xfId="0" applyFont="1" applyFill="1" applyBorder="1" applyAlignment="1">
      <alignment horizontal="center" vertical="top" wrapText="1"/>
    </xf>
    <xf numFmtId="0" fontId="6" fillId="37" borderId="0" xfId="0" applyFont="1" applyFill="1" applyBorder="1" applyAlignment="1">
      <alignment horizontal="center" vertical="top" wrapText="1"/>
    </xf>
    <xf numFmtId="0" fontId="6" fillId="37" borderId="8" xfId="0" applyFont="1" applyFill="1" applyBorder="1" applyAlignment="1">
      <alignment horizontal="center" vertical="top"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0" borderId="51"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49" xfId="0" applyFont="1" applyBorder="1" applyAlignment="1">
      <alignment horizontal="left" vertical="center" wrapText="1" indent="1"/>
    </xf>
    <xf numFmtId="0" fontId="4" fillId="0" borderId="29" xfId="0" applyFont="1" applyBorder="1" applyAlignment="1">
      <alignment horizontal="left" vertical="center" wrapText="1" indent="1"/>
    </xf>
    <xf numFmtId="0" fontId="4" fillId="0" borderId="30" xfId="0" applyFont="1" applyBorder="1" applyAlignment="1">
      <alignment horizontal="left" vertical="center" wrapText="1" indent="1"/>
    </xf>
    <xf numFmtId="0" fontId="47" fillId="40" borderId="13" xfId="0" applyFont="1" applyFill="1" applyBorder="1" applyAlignment="1">
      <alignment horizontal="center" vertical="top" wrapText="1"/>
    </xf>
    <xf numFmtId="0" fontId="47" fillId="40"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1" fillId="33" borderId="0" xfId="0" applyFont="1" applyFill="1" applyAlignment="1">
      <alignment horizontal="center" vertical="top"/>
    </xf>
    <xf numFmtId="49" fontId="39" fillId="35" borderId="55" xfId="183" applyNumberFormat="1" applyFont="1" applyFill="1" applyBorder="1" applyAlignment="1" applyProtection="1">
      <alignment horizontal="center" vertical="center" wrapText="1"/>
      <protection locked="0"/>
    </xf>
    <xf numFmtId="49" fontId="39" fillId="35" borderId="44" xfId="183" applyNumberFormat="1" applyFont="1" applyFill="1" applyBorder="1" applyAlignment="1" applyProtection="1">
      <alignment horizontal="center" vertical="center" wrapText="1"/>
      <protection locked="0"/>
    </xf>
    <xf numFmtId="0" fontId="47" fillId="38" borderId="22" xfId="0" applyFont="1" applyFill="1" applyBorder="1" applyAlignment="1">
      <alignment horizontal="center" vertical="center" wrapText="1"/>
    </xf>
    <xf numFmtId="0" fontId="47" fillId="38" borderId="38" xfId="0" applyFont="1" applyFill="1" applyBorder="1" applyAlignment="1">
      <alignment horizontal="center" vertical="center" wrapText="1"/>
    </xf>
    <xf numFmtId="0" fontId="47" fillId="38" borderId="20"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41" fillId="33" borderId="0" xfId="0" applyFont="1" applyFill="1" applyAlignment="1">
      <alignment horizontal="center" vertical="top" wrapText="1"/>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47" fillId="40" borderId="7" xfId="0" applyFont="1" applyFill="1" applyBorder="1" applyAlignment="1">
      <alignment horizontal="center" vertical="top" wrapText="1"/>
    </xf>
    <xf numFmtId="0" fontId="47" fillId="40"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47" fillId="38" borderId="51" xfId="0" applyFont="1" applyFill="1" applyBorder="1" applyAlignment="1">
      <alignment horizontal="center" vertical="center" wrapText="1"/>
    </xf>
    <xf numFmtId="0" fontId="47" fillId="38" borderId="26" xfId="0" applyFont="1" applyFill="1" applyBorder="1" applyAlignment="1">
      <alignment horizontal="center" vertical="center" wrapText="1"/>
    </xf>
    <xf numFmtId="0" fontId="47" fillId="38" borderId="7" xfId="0" applyFont="1" applyFill="1" applyBorder="1" applyAlignment="1">
      <alignment horizontal="center" vertical="center" wrapText="1"/>
    </xf>
    <xf numFmtId="0" fontId="47" fillId="38" borderId="21" xfId="0" applyFont="1" applyFill="1" applyBorder="1" applyAlignment="1">
      <alignment horizontal="center" vertical="center" wrapTex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39" fillId="35" borderId="20" xfId="183" applyNumberFormat="1" applyFont="1" applyFill="1" applyBorder="1" applyAlignment="1" applyProtection="1">
      <alignment horizontal="center" vertical="top" wrapText="1"/>
      <protection locked="0"/>
    </xf>
    <xf numFmtId="0" fontId="39" fillId="35" borderId="20" xfId="183" applyNumberFormat="1" applyFont="1" applyFill="1" applyBorder="1" applyAlignment="1" applyProtection="1">
      <alignment horizontal="left" vertical="top" wrapText="1"/>
      <protection locked="0"/>
    </xf>
    <xf numFmtId="0" fontId="39" fillId="35" borderId="31" xfId="183" applyNumberFormat="1" applyFont="1" applyFill="1" applyBorder="1" applyAlignment="1" applyProtection="1">
      <alignment horizontal="left" vertical="top" wrapText="1"/>
      <protection locked="0"/>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7" fillId="38" borderId="20" xfId="0" applyFont="1" applyFill="1" applyBorder="1" applyAlignment="1">
      <alignment horizontal="center" vertical="top" wrapText="1"/>
    </xf>
    <xf numFmtId="0" fontId="7" fillId="38" borderId="31" xfId="0" applyFont="1" applyFill="1" applyBorder="1" applyAlignment="1">
      <alignment horizontal="center" vertical="top" wrapText="1"/>
    </xf>
    <xf numFmtId="0" fontId="5" fillId="0" borderId="41" xfId="0" applyFont="1" applyBorder="1" applyAlignment="1">
      <alignment horizontal="left" vertical="top" wrapText="1"/>
    </xf>
    <xf numFmtId="0" fontId="5" fillId="0" borderId="42" xfId="0" applyFont="1" applyBorder="1" applyAlignment="1">
      <alignment horizontal="left" vertical="top" wrapText="1"/>
    </xf>
    <xf numFmtId="0" fontId="39" fillId="35" borderId="42" xfId="183" applyNumberFormat="1" applyFont="1" applyFill="1" applyBorder="1" applyAlignment="1" applyProtection="1">
      <alignment horizontal="center" vertical="top" wrapText="1"/>
      <protection locked="0"/>
    </xf>
    <xf numFmtId="0" fontId="39" fillId="35" borderId="42" xfId="183" applyNumberFormat="1" applyFont="1" applyFill="1" applyBorder="1" applyAlignment="1" applyProtection="1">
      <alignment horizontal="left" vertical="top" wrapText="1"/>
      <protection locked="0"/>
    </xf>
    <xf numFmtId="0" fontId="39" fillId="35" borderId="43" xfId="183" applyNumberFormat="1" applyFont="1" applyFill="1" applyBorder="1" applyAlignment="1" applyProtection="1">
      <alignment horizontal="left" vertical="top" wrapText="1"/>
      <protection locked="0"/>
    </xf>
    <xf numFmtId="0" fontId="5" fillId="0" borderId="7" xfId="0" applyFont="1" applyBorder="1" applyAlignment="1">
      <alignment horizontal="right" vertical="top" wrapText="1" indent="1"/>
    </xf>
    <xf numFmtId="0" fontId="4" fillId="0" borderId="0" xfId="0" applyFont="1" applyBorder="1" applyAlignment="1">
      <alignment horizontal="right" vertical="top" wrapText="1" indent="1"/>
    </xf>
    <xf numFmtId="0" fontId="5" fillId="0" borderId="0" xfId="0" applyFont="1" applyBorder="1" applyAlignment="1">
      <alignment horizontal="right" vertical="top" wrapText="1" inden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8" xfId="0" applyFont="1" applyFill="1" applyBorder="1" applyAlignment="1">
      <alignment horizontal="left" vertical="top"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41" fillId="33" borderId="7" xfId="0" applyFont="1" applyFill="1" applyBorder="1" applyAlignment="1">
      <alignment horizontal="left" wrapText="1"/>
    </xf>
    <xf numFmtId="0" fontId="41" fillId="33" borderId="0" xfId="0" applyFont="1" applyFill="1" applyBorder="1" applyAlignment="1">
      <alignment horizontal="left" wrapText="1"/>
    </xf>
    <xf numFmtId="0" fontId="41" fillId="33" borderId="8" xfId="0" applyFont="1" applyFill="1" applyBorder="1" applyAlignment="1">
      <alignment horizontal="left" wrapText="1"/>
    </xf>
    <xf numFmtId="0" fontId="7" fillId="38" borderId="20" xfId="0" applyFont="1" applyFill="1" applyBorder="1" applyAlignment="1">
      <alignment horizontal="center" vertical="center" wrapText="1"/>
    </xf>
    <xf numFmtId="0" fontId="39" fillId="35" borderId="34" xfId="183" applyNumberFormat="1" applyFont="1" applyFill="1" applyBorder="1" applyAlignment="1" applyProtection="1">
      <alignment horizontal="left" vertical="top" wrapText="1"/>
      <protection locked="0"/>
    </xf>
    <xf numFmtId="0" fontId="5" fillId="0" borderId="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5" fillId="0" borderId="49" xfId="0" applyFont="1" applyBorder="1" applyAlignment="1">
      <alignment horizontal="center" vertical="top"/>
    </xf>
    <xf numFmtId="0" fontId="5" fillId="0" borderId="29" xfId="0" applyFont="1" applyBorder="1" applyAlignment="1">
      <alignment horizontal="center" vertical="top"/>
    </xf>
    <xf numFmtId="0" fontId="5" fillId="0" borderId="30" xfId="0" applyFont="1" applyBorder="1" applyAlignment="1">
      <alignment horizontal="center" vertical="top"/>
    </xf>
    <xf numFmtId="0" fontId="6" fillId="38" borderId="35" xfId="0" applyFont="1" applyFill="1" applyBorder="1" applyAlignment="1">
      <alignment horizontal="center" vertical="top" wrapText="1"/>
    </xf>
    <xf numFmtId="0" fontId="6" fillId="38" borderId="20" xfId="0" applyFont="1" applyFill="1" applyBorder="1" applyAlignment="1">
      <alignment horizontal="center" vertical="top" wrapText="1"/>
    </xf>
    <xf numFmtId="0" fontId="6" fillId="38" borderId="35" xfId="0" applyFont="1" applyFill="1" applyBorder="1" applyAlignment="1">
      <alignment horizontal="center" vertical="top"/>
    </xf>
    <xf numFmtId="0" fontId="6" fillId="38" borderId="20" xfId="0" applyFont="1" applyFill="1" applyBorder="1" applyAlignment="1">
      <alignment horizontal="center" vertical="top"/>
    </xf>
    <xf numFmtId="0" fontId="5" fillId="0" borderId="20" xfId="0" applyFont="1" applyBorder="1" applyAlignment="1">
      <alignment horizontal="right" vertical="top" indent="1"/>
    </xf>
    <xf numFmtId="0" fontId="45" fillId="38" borderId="20" xfId="0" applyFont="1" applyFill="1" applyBorder="1" applyAlignment="1">
      <alignment horizontal="center" vertical="top" wrapTex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Border="1" applyAlignment="1">
      <alignment horizontal="right" vertical="top" indent="1"/>
    </xf>
    <xf numFmtId="0" fontId="6" fillId="0" borderId="23" xfId="0" applyFont="1" applyBorder="1" applyAlignment="1">
      <alignment horizontal="right" vertical="center" wrapText="1" indent="1"/>
    </xf>
    <xf numFmtId="0" fontId="5" fillId="0" borderId="35" xfId="0" applyFont="1" applyBorder="1" applyAlignment="1">
      <alignment vertical="center" wrapText="1"/>
    </xf>
    <xf numFmtId="0" fontId="5" fillId="0" borderId="20" xfId="0" applyFont="1" applyBorder="1" applyAlignment="1">
      <alignmen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7" xfId="0" applyFont="1" applyFill="1" applyBorder="1" applyAlignment="1">
      <alignment horizontal="center" vertical="center"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5" fillId="38" borderId="35" xfId="0" applyFont="1" applyFill="1" applyBorder="1" applyAlignment="1">
      <alignment horizontal="center" vertical="center" wrapText="1"/>
    </xf>
    <xf numFmtId="0" fontId="5" fillId="38" borderId="20" xfId="0" applyFont="1" applyFill="1" applyBorder="1" applyAlignment="1">
      <alignment horizontal="center" vertical="center" wrapText="1"/>
    </xf>
    <xf numFmtId="0" fontId="5" fillId="38" borderId="31" xfId="0" applyFont="1" applyFill="1" applyBorder="1" applyAlignment="1">
      <alignment horizontal="center" vertical="center" wrapText="1"/>
    </xf>
    <xf numFmtId="0" fontId="5" fillId="0" borderId="46" xfId="0" applyFont="1" applyBorder="1" applyAlignment="1">
      <alignment horizontal="right" vertical="top" indent="1"/>
    </xf>
    <xf numFmtId="0" fontId="5" fillId="0" borderId="48" xfId="0" applyFont="1" applyBorder="1" applyAlignment="1">
      <alignment horizontal="right" vertical="top" indent="1"/>
    </xf>
    <xf numFmtId="0" fontId="6" fillId="0" borderId="20" xfId="0" applyFont="1" applyBorder="1" applyAlignment="1">
      <alignment horizontal="right" vertical="center" wrapText="1" indent="1"/>
    </xf>
    <xf numFmtId="0" fontId="6" fillId="38" borderId="51" xfId="0" applyFont="1" applyFill="1" applyBorder="1" applyAlignment="1">
      <alignment horizontal="center" vertical="center" wrapText="1"/>
    </xf>
    <xf numFmtId="0" fontId="6" fillId="38" borderId="52" xfId="0" applyFont="1" applyFill="1" applyBorder="1" applyAlignment="1">
      <alignment horizontal="center" vertical="center" wrapText="1"/>
    </xf>
    <xf numFmtId="0" fontId="6" fillId="38" borderId="49" xfId="0" applyFont="1" applyFill="1" applyBorder="1" applyAlignment="1">
      <alignment horizontal="center" vertical="center" wrapText="1"/>
    </xf>
    <xf numFmtId="0" fontId="6" fillId="38" borderId="53" xfId="0" applyFont="1" applyFill="1" applyBorder="1" applyAlignment="1">
      <alignment horizontal="center" vertical="center" wrapTex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5" fillId="0" borderId="50" xfId="0" applyFont="1" applyBorder="1" applyAlignment="1">
      <alignment horizontal="right" vertical="top" wrapText="1" inden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165" fontId="39" fillId="36" borderId="19" xfId="25686" applyNumberFormat="1" applyFont="1" applyFill="1" applyBorder="1" applyAlignment="1" applyProtection="1">
      <alignment horizontal="center" vertical="center"/>
    </xf>
    <xf numFmtId="167" fontId="39" fillId="35" borderId="19" xfId="25686" applyNumberFormat="1" applyFont="1" applyFill="1" applyBorder="1" applyAlignment="1" applyProtection="1">
      <alignment horizontal="center" vertical="center"/>
      <protection locked="0"/>
    </xf>
    <xf numFmtId="0" fontId="7" fillId="38" borderId="19" xfId="0" applyFont="1" applyFill="1" applyBorder="1" applyAlignment="1">
      <alignment horizontal="center" vertical="center"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5" fillId="0" borderId="20" xfId="0" applyFont="1" applyBorder="1" applyAlignment="1">
      <alignment horizontal="right" vertical="center" wrapText="1" indent="1"/>
    </xf>
    <xf numFmtId="0" fontId="5" fillId="0" borderId="49"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6" fillId="38" borderId="35" xfId="0" applyFont="1" applyFill="1" applyBorder="1" applyAlignment="1">
      <alignment horizontal="center"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167" fontId="39" fillId="36" borderId="20" xfId="25686" applyNumberFormat="1" applyFont="1" applyFill="1" applyBorder="1" applyAlignment="1" applyProtection="1">
      <alignment horizontal="center" vertical="center"/>
    </xf>
    <xf numFmtId="0" fontId="5" fillId="0" borderId="20" xfId="0" applyFont="1" applyBorder="1" applyAlignment="1">
      <alignment horizontal="center" vertical="center" wrapText="1"/>
    </xf>
    <xf numFmtId="0" fontId="5" fillId="0" borderId="23" xfId="0" applyFont="1" applyBorder="1" applyAlignment="1">
      <alignment horizontal="right" vertical="center" wrapText="1" indent="1"/>
    </xf>
    <xf numFmtId="0" fontId="39" fillId="36" borderId="20" xfId="183" applyNumberFormat="1" applyFont="1" applyFill="1" applyBorder="1" applyAlignment="1" applyProtection="1">
      <alignment horizontal="left" vertical="top" wrapText="1"/>
    </xf>
    <xf numFmtId="0" fontId="4" fillId="35" borderId="0" xfId="0" applyFont="1" applyFill="1" applyAlignment="1" applyProtection="1">
      <alignment horizontal="left" vertical="top" wrapText="1"/>
      <protection locked="0"/>
    </xf>
    <xf numFmtId="0" fontId="60" fillId="0" borderId="11" xfId="0" applyFont="1" applyBorder="1" applyAlignment="1">
      <alignment horizontal="center"/>
    </xf>
    <xf numFmtId="0" fontId="60" fillId="0" borderId="12" xfId="0" applyFont="1" applyBorder="1" applyAlignment="1">
      <alignment horizontal="center"/>
    </xf>
    <xf numFmtId="0" fontId="72" fillId="44" borderId="66" xfId="25690" quotePrefix="1" applyFont="1" applyFill="1" applyBorder="1" applyAlignment="1">
      <alignment horizontal="center" vertical="center"/>
    </xf>
    <xf numFmtId="0" fontId="72" fillId="44" borderId="69" xfId="25690" quotePrefix="1" applyFont="1" applyFill="1" applyBorder="1" applyAlignment="1">
      <alignment horizontal="center" vertical="center"/>
    </xf>
    <xf numFmtId="0" fontId="73" fillId="44" borderId="66" xfId="0" applyFont="1" applyFill="1" applyBorder="1" applyAlignment="1">
      <alignment horizontal="center" vertical="center"/>
    </xf>
    <xf numFmtId="0" fontId="73" fillId="44" borderId="69" xfId="0" applyFont="1" applyFill="1" applyBorder="1" applyAlignment="1">
      <alignment horizontal="center" vertical="center"/>
    </xf>
    <xf numFmtId="0" fontId="73" fillId="44" borderId="71" xfId="0" applyFont="1" applyFill="1" applyBorder="1" applyAlignment="1">
      <alignment horizontal="center" vertical="center"/>
    </xf>
    <xf numFmtId="0" fontId="73" fillId="44" borderId="70" xfId="0" applyFont="1" applyFill="1" applyBorder="1" applyAlignment="1">
      <alignment horizontal="center" vertical="center"/>
    </xf>
    <xf numFmtId="0" fontId="71" fillId="42" borderId="63" xfId="25692" applyFont="1" applyFill="1" applyBorder="1" applyAlignment="1">
      <alignment horizontal="center"/>
    </xf>
    <xf numFmtId="0" fontId="71" fillId="42" borderId="64" xfId="25692" applyFont="1" applyFill="1" applyBorder="1" applyAlignment="1">
      <alignment horizontal="center"/>
    </xf>
    <xf numFmtId="0" fontId="71" fillId="42" borderId="67" xfId="25692" applyFont="1" applyFill="1" applyBorder="1" applyAlignment="1">
      <alignment horizontal="center"/>
    </xf>
    <xf numFmtId="0" fontId="72" fillId="44" borderId="0" xfId="25690" quotePrefix="1" applyFont="1" applyFill="1" applyBorder="1" applyAlignment="1">
      <alignment horizontal="center" vertical="center"/>
    </xf>
    <xf numFmtId="0" fontId="75" fillId="45" borderId="7" xfId="0" applyFont="1" applyFill="1" applyBorder="1" applyAlignment="1">
      <alignment horizontal="center"/>
    </xf>
    <xf numFmtId="0" fontId="75" fillId="45" borderId="0" xfId="0" applyFont="1" applyFill="1" applyBorder="1" applyAlignment="1">
      <alignment horizontal="center"/>
    </xf>
    <xf numFmtId="0" fontId="71" fillId="42" borderId="65" xfId="25692" applyFont="1" applyFill="1" applyBorder="1" applyAlignment="1">
      <alignment horizontal="center"/>
    </xf>
    <xf numFmtId="0" fontId="71" fillId="42" borderId="66" xfId="25692" applyFont="1" applyFill="1" applyBorder="1" applyAlignment="1">
      <alignment horizontal="center"/>
    </xf>
    <xf numFmtId="0" fontId="60" fillId="0" borderId="11" xfId="0" applyFont="1" applyFill="1" applyBorder="1" applyAlignment="1">
      <alignment horizontal="center"/>
    </xf>
    <xf numFmtId="0" fontId="60" fillId="0" borderId="12" xfId="0" applyFont="1" applyFill="1" applyBorder="1" applyAlignment="1">
      <alignment horizontal="center"/>
    </xf>
    <xf numFmtId="0" fontId="72" fillId="44" borderId="61" xfId="25692" applyFont="1" applyFill="1" applyBorder="1" applyAlignment="1">
      <alignment horizontal="center" vertical="center"/>
    </xf>
    <xf numFmtId="0" fontId="72" fillId="44" borderId="68" xfId="25692" applyFont="1" applyFill="1" applyBorder="1" applyAlignment="1">
      <alignment horizontal="center" vertical="center"/>
    </xf>
    <xf numFmtId="0" fontId="72" fillId="44" borderId="0" xfId="25692" applyFont="1" applyFill="1" applyBorder="1" applyAlignment="1">
      <alignment horizontal="center" vertical="center" wrapText="1"/>
    </xf>
    <xf numFmtId="0" fontId="72" fillId="44" borderId="69" xfId="25692" applyFont="1" applyFill="1" applyBorder="1" applyAlignment="1">
      <alignment horizontal="center" vertical="center" wrapText="1"/>
    </xf>
    <xf numFmtId="0" fontId="72" fillId="44" borderId="66" xfId="25692" applyFont="1" applyFill="1" applyBorder="1" applyAlignment="1">
      <alignment horizontal="center" vertical="center" wrapText="1"/>
    </xf>
    <xf numFmtId="0" fontId="72" fillId="44" borderId="66" xfId="25692" applyFont="1" applyFill="1" applyBorder="1" applyAlignment="1">
      <alignment horizontal="center" vertical="center"/>
    </xf>
    <xf numFmtId="0" fontId="72" fillId="44" borderId="69" xfId="25692" applyFont="1" applyFill="1" applyBorder="1" applyAlignment="1">
      <alignment horizontal="center" vertical="center"/>
    </xf>
    <xf numFmtId="0" fontId="60" fillId="0" borderId="13" xfId="0" applyFont="1" applyBorder="1" applyAlignment="1">
      <alignment horizontal="center"/>
    </xf>
    <xf numFmtId="0" fontId="60" fillId="0" borderId="14" xfId="0" applyFont="1" applyBorder="1" applyAlignment="1">
      <alignment horizontal="center"/>
    </xf>
    <xf numFmtId="0" fontId="60" fillId="0" borderId="9" xfId="0" applyFont="1" applyBorder="1" applyAlignment="1">
      <alignment horizontal="center"/>
    </xf>
    <xf numFmtId="0" fontId="60" fillId="0" borderId="10" xfId="0" applyFont="1" applyBorder="1" applyAlignment="1">
      <alignment horizontal="center"/>
    </xf>
    <xf numFmtId="0" fontId="73" fillId="0" borderId="0" xfId="0" applyFont="1" applyFill="1" applyBorder="1" applyAlignment="1">
      <alignment horizontal="center" vertical="center"/>
    </xf>
    <xf numFmtId="0" fontId="72" fillId="0" borderId="0" xfId="25690" quotePrefix="1" applyFont="1" applyFill="1" applyBorder="1" applyAlignment="1">
      <alignment horizontal="center" vertical="center"/>
    </xf>
    <xf numFmtId="0" fontId="60" fillId="0" borderId="0" xfId="0" applyFont="1" applyFill="1" applyBorder="1" applyAlignment="1">
      <alignment horizontal="center"/>
    </xf>
    <xf numFmtId="0" fontId="71" fillId="0" borderId="0" xfId="25692" applyFont="1" applyFill="1" applyBorder="1" applyAlignment="1">
      <alignment horizontal="center"/>
    </xf>
    <xf numFmtId="0" fontId="72" fillId="0" borderId="0" xfId="25692" applyFont="1" applyFill="1" applyBorder="1" applyAlignment="1">
      <alignment horizontal="center" vertical="center"/>
    </xf>
    <xf numFmtId="0" fontId="72" fillId="0" borderId="0" xfId="25692" applyFont="1" applyFill="1" applyBorder="1" applyAlignment="1">
      <alignment horizontal="center" vertical="center" wrapText="1"/>
    </xf>
    <xf numFmtId="0" fontId="60" fillId="0" borderId="0" xfId="0" applyFont="1" applyBorder="1" applyAlignment="1">
      <alignment horizontal="center"/>
    </xf>
  </cellXfs>
  <cellStyles count="25693">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3 2" xfId="25691" xr:uid="{F078FFD7-E507-4FBE-9BB3-163F8A40F53C}"/>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35" xfId="25688" xr:uid="{F97B4F16-B06A-4DBF-923E-D6505A89C1DA}"/>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62D91316-1ACC-4578-A7BB-BC3F62AEA1D2}"/>
    <cellStyle name="Normal_Production" xfId="25692" xr:uid="{FB7A97EB-91B6-49B7-B4EE-1EB741C3EBCD}"/>
    <cellStyle name="Normal_Sheet1" xfId="25689" xr:uid="{217F1CD9-0732-4C57-B74D-7B722660B5D5}"/>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19">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31CA724D-9F39-420F-8302-B435F017F071}"/>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FBE5ADCA-0CE5-4682-8257-5453870B8742}"/>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517525</xdr:colOff>
      <xdr:row>2</xdr:row>
      <xdr:rowOff>111126</xdr:rowOff>
    </xdr:to>
    <xdr:pic>
      <xdr:nvPicPr>
        <xdr:cNvPr id="2" name="Picture 1">
          <a:extLst>
            <a:ext uri="{FF2B5EF4-FFF2-40B4-BE49-F238E27FC236}">
              <a16:creationId xmlns:a16="http://schemas.microsoft.com/office/drawing/2014/main" id="{93C64C69-B2C6-4395-9633-67196F14CB28}"/>
            </a:ext>
          </a:extLst>
        </xdr:cNvPr>
        <xdr:cNvPicPr>
          <a:picLocks noChangeAspect="1"/>
        </xdr:cNvPicPr>
      </xdr:nvPicPr>
      <xdr:blipFill rotWithShape="1">
        <a:blip xmlns:r="http://schemas.openxmlformats.org/officeDocument/2006/relationships" r:embed="rId1"/>
        <a:srcRect l="2122" t="11760" r="2122" b="10205"/>
        <a:stretch/>
      </xdr:blipFill>
      <xdr:spPr>
        <a:xfrm>
          <a:off x="8724900" y="0"/>
          <a:ext cx="1546225" cy="4730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E6DCD2DB-0905-4F64-A11A-9E5FE333A9E8}"/>
            </a:ext>
          </a:extLst>
        </xdr:cNvPr>
        <xdr:cNvPicPr>
          <a:picLocks noChangeAspect="1"/>
        </xdr:cNvPicPr>
      </xdr:nvPicPr>
      <xdr:blipFill rotWithShape="1">
        <a:blip xmlns:r="http://schemas.openxmlformats.org/officeDocument/2006/relationships" r:embed="rId1"/>
        <a:srcRect l="2122" t="11760" r="2122" b="10205"/>
        <a:stretch/>
      </xdr:blipFill>
      <xdr:spPr>
        <a:xfrm>
          <a:off x="8858250" y="0"/>
          <a:ext cx="1546225"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BB6E44D6-99A5-46B0-BD57-D9847F7CB5E3}"/>
            </a:ext>
          </a:extLst>
        </xdr:cNvPr>
        <xdr:cNvPicPr>
          <a:picLocks noChangeAspect="1"/>
        </xdr:cNvPicPr>
      </xdr:nvPicPr>
      <xdr:blipFill rotWithShape="1">
        <a:blip xmlns:r="http://schemas.openxmlformats.org/officeDocument/2006/relationships" r:embed="rId1"/>
        <a:srcRect l="2122" t="11760" r="2122" b="10205"/>
        <a:stretch/>
      </xdr:blipFill>
      <xdr:spPr>
        <a:xfrm>
          <a:off x="8858250" y="0"/>
          <a:ext cx="1546225" cy="4730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8E597CFA-DB85-420D-9A38-EFB66CD57612}"/>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517525</xdr:colOff>
      <xdr:row>2</xdr:row>
      <xdr:rowOff>111126</xdr:rowOff>
    </xdr:to>
    <xdr:pic>
      <xdr:nvPicPr>
        <xdr:cNvPr id="2" name="Picture 1">
          <a:extLst>
            <a:ext uri="{FF2B5EF4-FFF2-40B4-BE49-F238E27FC236}">
              <a16:creationId xmlns:a16="http://schemas.microsoft.com/office/drawing/2014/main" id="{77B69EC9-8882-4590-B02E-68565235003C}"/>
            </a:ext>
          </a:extLst>
        </xdr:cNvPr>
        <xdr:cNvPicPr>
          <a:picLocks noChangeAspect="1"/>
        </xdr:cNvPicPr>
      </xdr:nvPicPr>
      <xdr:blipFill rotWithShape="1">
        <a:blip xmlns:r="http://schemas.openxmlformats.org/officeDocument/2006/relationships" r:embed="rId1"/>
        <a:srcRect l="2122" t="11760" r="2122" b="10205"/>
        <a:stretch/>
      </xdr:blipFill>
      <xdr:spPr>
        <a:xfrm>
          <a:off x="8724900" y="0"/>
          <a:ext cx="1546225" cy="473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F23D6054-DE77-4EE5-88C8-EE819CC22D8D}"/>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80829AFE-7F1F-4D49-AA74-A3D022CE50F4}"/>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A9CAC71-8C3A-4E15-8E4A-4F0796D56A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E8EA3A9-F1C9-491D-BC6C-6407196E13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8042323-62FF-4DFF-9A3F-82B5D86844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3825" y="1085850"/>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4C1147A0-D7D2-43ED-8F55-FF7C93E875B0}"/>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399634E-C7F9-470E-B7B9-76C3119B1D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9D2CB91-351D-48BD-A25A-F597532CAD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52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2CAF9D4-F8DA-4595-AD6E-C092FDDC37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3825" y="1085850"/>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EB261765-340C-4FC5-8210-522FEBD8E10A}"/>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0839AF98-DAAA-48AB-BFF4-55DB599881F9}"/>
            </a:ext>
          </a:extLst>
        </xdr:cNvPr>
        <xdr:cNvPicPr>
          <a:picLocks noChangeAspect="1"/>
        </xdr:cNvPicPr>
      </xdr:nvPicPr>
      <xdr:blipFill rotWithShape="1">
        <a:blip xmlns:r="http://schemas.openxmlformats.org/officeDocument/2006/relationships" r:embed="rId2"/>
        <a:srcRect l="2122" t="11760" r="2122" b="10205"/>
        <a:stretch/>
      </xdr:blipFill>
      <xdr:spPr>
        <a:xfrm>
          <a:off x="8858250" y="0"/>
          <a:ext cx="1546225" cy="47307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yer, Vikram" id="{AF4268FF-593F-479D-B4D5-3C026BDCA5F0}" userId="S::Vikram.Iyer@tribunal.gc.ca::2d55a0ed-55fa-4567-8782-a032f99926d7" providerId="AD"/>
  <person displayName="Arboleda, Jameyn" id="{9511D01A-9748-48D8-9681-CEDE6E6DC653}" userId="S::Jameyn.Arboleda@tribunal.gc.ca::914a611a-fd6b-460a-90bd-5bd9dc82c70e" providerId="AD"/>
  <person displayName="Julien, Mardoché" id="{B4711380-A218-40BB-8D09-8F2DB9796742}" userId="S::Mardoche.Julien@tribunal.gc.ca::a89a85ed-87d6-46f1-bf3e-9b1863e8f15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8:33.15" personId="{9511D01A-9748-48D8-9681-CEDE6E6DC653}" id="{32958E7C-C115-44D2-8ECA-B8DB96EAAE61}">
    <text>Hide EN and FR columns
TRIB &gt; Hide R/C</text>
  </threadedComment>
</ThreadedComments>
</file>

<file path=xl/threadedComments/threadedComment2.xml><?xml version="1.0" encoding="utf-8"?>
<ThreadedComments xmlns="http://schemas.microsoft.com/office/spreadsheetml/2018/threadedcomments" xmlns:x="http://schemas.openxmlformats.org/spreadsheetml/2006/main">
  <threadedComment ref="D77" dT="2025-12-08T20:08:50.89" personId="{9511D01A-9748-48D8-9681-CEDE6E6DC653}" id="{B1293736-1A6A-40D1-B6D4-834EAC7DA22A}">
    <text>Adjust decimal points as appropriate</text>
  </threadedComment>
</ThreadedComments>
</file>

<file path=xl/threadedComments/threadedComment3.xml><?xml version="1.0" encoding="utf-8"?>
<ThreadedComments xmlns="http://schemas.microsoft.com/office/spreadsheetml/2018/threadedcomments" xmlns:x="http://schemas.openxmlformats.org/spreadsheetml/2006/main">
  <threadedComment ref="D77" dT="2025-12-08T20:08:50.89" personId="{9511D01A-9748-48D8-9681-CEDE6E6DC653}" id="{61643D3D-3FFA-4132-BEEF-11C5D2581BD9}">
    <text>Adjust decimal points as appropriate</text>
  </threadedComment>
</ThreadedComments>
</file>

<file path=xl/threadedComments/threadedComment4.xml><?xml version="1.0" encoding="utf-8"?>
<ThreadedComments xmlns="http://schemas.microsoft.com/office/spreadsheetml/2018/threadedcomments" xmlns:x="http://schemas.openxmlformats.org/spreadsheetml/2006/main">
  <threadedComment ref="D77" dT="2025-12-08T20:08:50.89" personId="{9511D01A-9748-48D8-9681-CEDE6E6DC653}" id="{94748C51-24BE-4D71-8B9C-74D9DF50B663}">
    <text>Adjust decimal points as appropriate</text>
  </threadedComment>
</ThreadedComments>
</file>

<file path=xl/threadedComments/threadedComment5.xml><?xml version="1.0" encoding="utf-8"?>
<ThreadedComments xmlns="http://schemas.microsoft.com/office/spreadsheetml/2018/threadedcomments" xmlns:x="http://schemas.openxmlformats.org/spreadsheetml/2006/main">
  <threadedComment ref="D77" dT="2025-12-08T20:08:57.75" personId="{9511D01A-9748-48D8-9681-CEDE6E6DC653}" id="{973498C4-5CA3-42CD-A0C4-A1C67CE61420}">
    <text>Adjust decimal points as appropriate</text>
  </threadedComment>
</ThreadedComments>
</file>

<file path=xl/threadedComments/threadedComment6.xml><?xml version="1.0" encoding="utf-8"?>
<ThreadedComments xmlns="http://schemas.microsoft.com/office/spreadsheetml/2018/threadedcomments" xmlns:x="http://schemas.openxmlformats.org/spreadsheetml/2006/main">
  <threadedComment ref="D77" dT="2025-12-08T20:09:04.61" personId="{9511D01A-9748-48D8-9681-CEDE6E6DC653}" id="{AA678BA7-6741-41A4-A1FD-BC9F2E87422A}">
    <text>Adjust decimal points as appropriate</text>
  </threadedComment>
</ThreadedComments>
</file>

<file path=xl/threadedComments/threadedComment7.xml><?xml version="1.0" encoding="utf-8"?>
<ThreadedComments xmlns="http://schemas.microsoft.com/office/spreadsheetml/2018/threadedcomments" xmlns:x="http://schemas.openxmlformats.org/spreadsheetml/2006/main">
  <threadedComment ref="C2" dT="2026-04-16T18:14:36.71" personId="{AF4268FF-593F-479D-B4D5-3C026BDCA5F0}" id="{C0327A1E-982E-4EBB-A2A7-A919591BE5E8}">
    <text>Note</text>
  </threadedComment>
  <threadedComment ref="C2" dT="2026-04-16T18:47:30.15" personId="{B4711380-A218-40BB-8D09-8F2DB9796742}" id="{C87E9B07-8045-4DD9-A04A-8A951EC7EFE3}" parentId="{C0327A1E-982E-4EBB-A2A7-A919591BE5E8}">
    <text>Noted</text>
  </threadedComment>
  <threadedComment ref="H6" dT="2026-04-16T18:35:57.72" personId="{AF4268FF-593F-479D-B4D5-3C026BDCA5F0}" id="{A294C30A-770F-405C-940F-68801806AF56}">
    <text>Link Trade levels</text>
  </threadedComment>
  <threadedComment ref="X16" dT="2026-04-16T18:12:48.77" personId="{AF4268FF-593F-479D-B4D5-3C026BDCA5F0}" id="{393F84EE-63F2-440B-8EC9-0F5FF2CDEDEE}">
    <text>Divide these all by 1000</text>
  </threadedComment>
  <threadedComment ref="M22" dT="2026-04-16T18:37:05.63" personId="{AF4268FF-593F-479D-B4D5-3C026BDCA5F0}" id="{A3D1795D-1689-43D1-8A10-E66F2F03EFF8}">
    <text>Link Other Countries</text>
  </threadedComment>
  <threadedComment ref="K69" dT="2026-04-16T18:41:22.12" personId="{AF4268FF-593F-479D-B4D5-3C026BDCA5F0}" id="{D69CEB06-077E-4B19-A16A-5A1877E6D7EF}">
    <text>Change to 2-Non-Subject</text>
  </threadedComment>
  <threadedComment ref="L69" dT="2026-04-16T18:37:51.44" personId="{AF4268FF-593F-479D-B4D5-3C026BDCA5F0}" id="{7C31AAFF-A775-4DBF-BFDC-1B57B1B3A45A}">
    <text>Should be Other Countries, not mexico</text>
  </threadedComment>
  <threadedComment ref="M69" dT="2026-04-16T18:38:05.25" personId="{AF4268FF-593F-479D-B4D5-3C026BDCA5F0}" id="{D3A708AD-F56D-43B2-A90B-1F79B25C96A6}">
    <text>Link other countries</text>
  </threadedComment>
</ThreadedComments>
</file>

<file path=xl/threadedComments/threadedComment8.xml><?xml version="1.0" encoding="utf-8"?>
<ThreadedComments xmlns="http://schemas.microsoft.com/office/spreadsheetml/2018/threadedcomments" xmlns:x="http://schemas.openxmlformats.org/spreadsheetml/2006/main">
  <threadedComment ref="H6" dT="2026-04-16T18:40:31.74" personId="{AF4268FF-593F-479D-B4D5-3C026BDCA5F0}" id="{3CFC542F-1E04-4D09-B6ED-50BDB930CD32}">
    <text>Link Trade Levels</text>
  </threadedComment>
  <threadedComment ref="X16" dT="2026-04-16T18:14:54.05" personId="{AF4268FF-593F-479D-B4D5-3C026BDCA5F0}" id="{A6820329-ED34-4424-8BC5-9B9C1604F85F}">
    <text xml:space="preserve">Divide these all by 1000
</text>
  </threadedComment>
  <threadedComment ref="M22" dT="2026-04-16T18:41:35.52" personId="{AF4268FF-593F-479D-B4D5-3C026BDCA5F0}" id="{60124BC7-2FAA-4395-B91D-CAB51CC2CE92}">
    <text>Link</text>
  </threadedComment>
</ThreadedComments>
</file>

<file path=xl/threadedComments/threadedComment9.xml><?xml version="1.0" encoding="utf-8"?>
<ThreadedComments xmlns="http://schemas.microsoft.com/office/spreadsheetml/2018/threadedcomments" xmlns:x="http://schemas.openxmlformats.org/spreadsheetml/2006/main">
  <threadedComment ref="H6" dT="2026-04-16T18:41:43.37" personId="{AF4268FF-593F-479D-B4D5-3C026BDCA5F0}" id="{4B21D2FF-E60B-44F2-AA37-5F135CD8D0FB}">
    <text>Link</text>
  </threadedComment>
  <threadedComment ref="X16" dT="2026-04-16T18:15:04.45" personId="{AF4268FF-593F-479D-B4D5-3C026BDCA5F0}" id="{09EAEC5B-574A-406C-B367-612E97485F38}">
    <text xml:space="preserve">Divide by 1000
</text>
  </threadedComment>
  <threadedComment ref="M22" dT="2026-04-16T18:41:51.35" personId="{AF4268FF-593F-479D-B4D5-3C026BDCA5F0}" id="{BA8EA4C3-5B75-448A-B333-0D9D667CC70C}">
    <text>Link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22.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2"/>
  <sheetViews>
    <sheetView showGridLines="0" topLeftCell="A27" workbookViewId="0">
      <selection activeCell="B39" sqref="B39:C39"/>
    </sheetView>
  </sheetViews>
  <sheetFormatPr defaultColWidth="8.5546875" defaultRowHeight="14.4" x14ac:dyDescent="0.3"/>
  <cols>
    <col min="1" max="1" width="24.44140625" style="88" bestFit="1" customWidth="1"/>
    <col min="2" max="2" width="20.5546875" style="10" customWidth="1"/>
    <col min="3" max="3" width="32.44140625" style="10" bestFit="1" customWidth="1"/>
    <col min="4" max="4" width="18.5546875" style="10" bestFit="1" customWidth="1"/>
    <col min="5" max="5" width="8.5546875" style="10"/>
    <col min="6" max="6" width="11.5546875" style="10" customWidth="1"/>
    <col min="7" max="7" width="10.5546875" style="10" customWidth="1"/>
    <col min="8" max="10" width="8.5546875" style="10"/>
    <col min="11" max="11" width="12" style="10" bestFit="1" customWidth="1"/>
    <col min="12" max="16384" width="8.5546875" style="10"/>
  </cols>
  <sheetData>
    <row r="1" spans="1:12" s="103" customFormat="1" x14ac:dyDescent="0.3">
      <c r="A1" s="103" t="s">
        <v>92</v>
      </c>
      <c r="B1" s="103" t="s">
        <v>93</v>
      </c>
      <c r="C1" s="103" t="s">
        <v>94</v>
      </c>
      <c r="F1" s="103" t="s">
        <v>95</v>
      </c>
    </row>
    <row r="2" spans="1:12" x14ac:dyDescent="0.3">
      <c r="A2" s="88" t="s">
        <v>96</v>
      </c>
      <c r="B2" t="s">
        <v>788</v>
      </c>
      <c r="C2" s="38" t="str">
        <f>B2</f>
        <v>NQ-2026-002</v>
      </c>
      <c r="F2" s="10" t="s">
        <v>220</v>
      </c>
    </row>
    <row r="3" spans="1:12" x14ac:dyDescent="0.3">
      <c r="A3" s="88" t="s">
        <v>97</v>
      </c>
      <c r="B3" s="10" t="s">
        <v>542</v>
      </c>
      <c r="C3" s="10" t="s">
        <v>543</v>
      </c>
      <c r="F3" s="10" t="s">
        <v>219</v>
      </c>
    </row>
    <row r="4" spans="1:12" x14ac:dyDescent="0.3">
      <c r="A4" s="88" t="s">
        <v>166</v>
      </c>
      <c r="B4" s="38" t="s">
        <v>544</v>
      </c>
      <c r="C4" s="38" t="s">
        <v>545</v>
      </c>
      <c r="F4" s="10" t="s">
        <v>218</v>
      </c>
    </row>
    <row r="5" spans="1:12" ht="28.8" x14ac:dyDescent="0.3">
      <c r="A5" s="102" t="s">
        <v>298</v>
      </c>
      <c r="B5" s="38" t="s">
        <v>546</v>
      </c>
      <c r="C5" s="38" t="s">
        <v>547</v>
      </c>
      <c r="D5" s="38" t="s">
        <v>425</v>
      </c>
    </row>
    <row r="6" spans="1:12" x14ac:dyDescent="0.3">
      <c r="A6" s="88" t="s">
        <v>252</v>
      </c>
      <c r="B6" s="282">
        <v>2023</v>
      </c>
      <c r="C6" s="282">
        <f>B6</f>
        <v>2023</v>
      </c>
      <c r="D6" s="38"/>
      <c r="F6" s="100" t="s">
        <v>296</v>
      </c>
    </row>
    <row r="7" spans="1:12" x14ac:dyDescent="0.3">
      <c r="A7" s="88" t="s">
        <v>269</v>
      </c>
      <c r="B7" s="283" t="s">
        <v>588</v>
      </c>
      <c r="C7" s="284" t="s">
        <v>589</v>
      </c>
      <c r="D7" s="38"/>
      <c r="F7" s="38" t="s">
        <v>458</v>
      </c>
    </row>
    <row r="8" spans="1:12" x14ac:dyDescent="0.3">
      <c r="A8" s="88" t="s">
        <v>251</v>
      </c>
      <c r="B8" s="282">
        <f>YEAR(B11)</f>
        <v>2026</v>
      </c>
      <c r="C8" s="282">
        <f>B8</f>
        <v>2026</v>
      </c>
      <c r="D8" s="38"/>
      <c r="F8" s="38" t="s">
        <v>457</v>
      </c>
    </row>
    <row r="9" spans="1:12" x14ac:dyDescent="0.3">
      <c r="A9" s="88" t="s">
        <v>230</v>
      </c>
      <c r="B9" s="10" t="s">
        <v>586</v>
      </c>
      <c r="C9" s="10" t="s">
        <v>548</v>
      </c>
      <c r="D9" s="38"/>
      <c r="F9" s="101" t="s">
        <v>297</v>
      </c>
    </row>
    <row r="10" spans="1:12" x14ac:dyDescent="0.3">
      <c r="A10" s="88" t="s">
        <v>231</v>
      </c>
      <c r="B10" s="10" t="s">
        <v>587</v>
      </c>
      <c r="C10" s="10" t="s">
        <v>549</v>
      </c>
      <c r="D10" s="38"/>
    </row>
    <row r="11" spans="1:12" x14ac:dyDescent="0.3">
      <c r="A11" s="88" t="s">
        <v>98</v>
      </c>
      <c r="B11" s="284" t="s">
        <v>603</v>
      </c>
      <c r="C11" s="284" t="s">
        <v>604</v>
      </c>
      <c r="D11" s="38"/>
    </row>
    <row r="12" spans="1:12" x14ac:dyDescent="0.3">
      <c r="B12" s="78"/>
      <c r="F12" s="103" t="s">
        <v>388</v>
      </c>
      <c r="G12" s="88"/>
      <c r="H12" s="88"/>
      <c r="I12" s="88"/>
      <c r="J12" s="88"/>
      <c r="K12" s="88"/>
      <c r="L12" s="88"/>
    </row>
    <row r="13" spans="1:12" x14ac:dyDescent="0.3">
      <c r="A13" s="99" t="s">
        <v>289</v>
      </c>
      <c r="B13" s="38" t="s">
        <v>550</v>
      </c>
      <c r="C13" s="38" t="s">
        <v>584</v>
      </c>
      <c r="D13" s="38" t="s">
        <v>585</v>
      </c>
      <c r="F13" s="214" t="s">
        <v>421</v>
      </c>
      <c r="G13" s="214" t="s">
        <v>401</v>
      </c>
      <c r="H13" s="496" t="s">
        <v>405</v>
      </c>
      <c r="I13" s="496"/>
      <c r="J13" s="214" t="s">
        <v>416</v>
      </c>
      <c r="K13" s="103" t="s">
        <v>72</v>
      </c>
      <c r="L13" s="214" t="s">
        <v>422</v>
      </c>
    </row>
    <row r="14" spans="1:12" x14ac:dyDescent="0.3">
      <c r="A14" s="99" t="s">
        <v>290</v>
      </c>
      <c r="B14" s="38" t="s">
        <v>551</v>
      </c>
      <c r="C14" s="38" t="s">
        <v>552</v>
      </c>
      <c r="D14" s="38" t="s">
        <v>553</v>
      </c>
      <c r="F14" s="88" t="s">
        <v>389</v>
      </c>
      <c r="G14" s="88" t="s">
        <v>402</v>
      </c>
      <c r="H14" s="88" t="s">
        <v>406</v>
      </c>
      <c r="I14" s="88" t="s">
        <v>441</v>
      </c>
      <c r="J14" s="88">
        <f>$B$8</f>
        <v>2026</v>
      </c>
      <c r="K14" s="88" t="str">
        <f>IF(Intro!$G$20="English",Variables!H14&amp;" "&amp;Variables!J14,Variables!I14&amp;" "&amp;Variables!J14)</f>
        <v>Oct-Dec 2026</v>
      </c>
      <c r="L14" s="88" t="s">
        <v>382</v>
      </c>
    </row>
    <row r="15" spans="1:12" x14ac:dyDescent="0.3">
      <c r="F15" s="88" t="s">
        <v>390</v>
      </c>
      <c r="G15" s="88" t="s">
        <v>403</v>
      </c>
      <c r="H15" s="88" t="s">
        <v>389</v>
      </c>
      <c r="I15" s="88" t="s">
        <v>442</v>
      </c>
      <c r="J15" s="88">
        <f>$B$8+1</f>
        <v>2027</v>
      </c>
      <c r="K15" s="88" t="str">
        <f>IF(Intro!$G$20="English",Variables!H15&amp;" "&amp;Variables!J15,Variables!I15&amp;" "&amp;Variables!J15)</f>
        <v>Jan 2027</v>
      </c>
      <c r="L15" s="88" t="s">
        <v>382</v>
      </c>
    </row>
    <row r="16" spans="1:12" x14ac:dyDescent="0.3">
      <c r="A16" s="88" t="s">
        <v>105</v>
      </c>
      <c r="B16" s="38" t="s">
        <v>554</v>
      </c>
      <c r="C16" s="38" t="s">
        <v>555</v>
      </c>
      <c r="F16" s="88" t="s">
        <v>391</v>
      </c>
      <c r="G16" s="88" t="s">
        <v>403</v>
      </c>
      <c r="H16" s="88" t="s">
        <v>407</v>
      </c>
      <c r="I16" s="88" t="s">
        <v>443</v>
      </c>
      <c r="J16" s="88">
        <f>$B$8+1</f>
        <v>2027</v>
      </c>
      <c r="K16" s="88" t="str">
        <f>IF(Intro!$G$20="English",Variables!H16&amp;" "&amp;Variables!J16,Variables!I16&amp;" "&amp;Variables!J16)</f>
        <v>Jan-Feb 2027</v>
      </c>
      <c r="L16" s="88" t="s">
        <v>382</v>
      </c>
    </row>
    <row r="17" spans="1:12" s="38" customFormat="1" x14ac:dyDescent="0.3">
      <c r="A17" s="98" t="s">
        <v>288</v>
      </c>
      <c r="B17" s="10" t="s">
        <v>556</v>
      </c>
      <c r="C17" s="10" t="s">
        <v>557</v>
      </c>
      <c r="F17" s="88" t="s">
        <v>392</v>
      </c>
      <c r="G17" s="99" t="s">
        <v>403</v>
      </c>
      <c r="H17" s="99" t="s">
        <v>408</v>
      </c>
      <c r="I17" s="99" t="s">
        <v>444</v>
      </c>
      <c r="J17" s="88">
        <f>$B$8+1</f>
        <v>2027</v>
      </c>
      <c r="K17" s="88" t="str">
        <f>IF(Intro!$G$20="English",Variables!H17&amp;" "&amp;Variables!J17,Variables!I17&amp;" "&amp;Variables!J17)</f>
        <v>Jan-Mar 2027</v>
      </c>
      <c r="L17" s="99" t="s">
        <v>404</v>
      </c>
    </row>
    <row r="18" spans="1:12" s="38" customFormat="1" x14ac:dyDescent="0.3">
      <c r="A18" s="98"/>
      <c r="B18" s="10"/>
      <c r="F18" s="88" t="s">
        <v>393</v>
      </c>
      <c r="G18" s="99" t="s">
        <v>382</v>
      </c>
      <c r="H18" s="99" t="s">
        <v>392</v>
      </c>
      <c r="I18" s="99" t="s">
        <v>445</v>
      </c>
      <c r="J18" s="88">
        <f t="shared" ref="J18:J25" si="0">$B$8</f>
        <v>2026</v>
      </c>
      <c r="K18" s="88" t="str">
        <f>IF(Intro!$G$20="English",Variables!H18&amp;" "&amp;Variables!J18,Variables!I18&amp;" "&amp;Variables!J18)</f>
        <v>Apr 2026</v>
      </c>
      <c r="L18" s="99" t="s">
        <v>404</v>
      </c>
    </row>
    <row r="19" spans="1:12" x14ac:dyDescent="0.3">
      <c r="A19" s="88" t="s">
        <v>106</v>
      </c>
      <c r="B19" s="40" t="s">
        <v>246</v>
      </c>
      <c r="C19" s="40" t="s">
        <v>246</v>
      </c>
      <c r="F19" s="88" t="s">
        <v>394</v>
      </c>
      <c r="G19" s="88" t="s">
        <v>382</v>
      </c>
      <c r="H19" s="88" t="s">
        <v>409</v>
      </c>
      <c r="I19" s="88" t="s">
        <v>446</v>
      </c>
      <c r="J19" s="88">
        <f t="shared" si="0"/>
        <v>2026</v>
      </c>
      <c r="K19" s="88" t="str">
        <f>IF(Intro!$G$20="English",Variables!H19&amp;" "&amp;Variables!J19,Variables!I19&amp;" "&amp;Variables!J19)</f>
        <v>Apr-May 2026</v>
      </c>
      <c r="L19" s="99" t="s">
        <v>404</v>
      </c>
    </row>
    <row r="20" spans="1:12" x14ac:dyDescent="0.3">
      <c r="A20" s="88" t="s">
        <v>107</v>
      </c>
      <c r="B20" s="285" t="s">
        <v>558</v>
      </c>
      <c r="C20" s="38" t="s">
        <v>558</v>
      </c>
      <c r="F20" s="88" t="s">
        <v>395</v>
      </c>
      <c r="G20" s="88" t="s">
        <v>382</v>
      </c>
      <c r="H20" s="88" t="s">
        <v>410</v>
      </c>
      <c r="I20" s="88" t="s">
        <v>447</v>
      </c>
      <c r="J20" s="88">
        <f t="shared" si="0"/>
        <v>2026</v>
      </c>
      <c r="K20" s="88" t="str">
        <f>IF(Intro!$G$20="English",Variables!H20&amp;" "&amp;Variables!J20,Variables!I20&amp;" "&amp;Variables!J20)</f>
        <v>Apr-Jun 2026</v>
      </c>
      <c r="L20" s="88" t="s">
        <v>402</v>
      </c>
    </row>
    <row r="21" spans="1:12" x14ac:dyDescent="0.3">
      <c r="A21" s="88" t="s">
        <v>108</v>
      </c>
      <c r="B21" s="285" t="s">
        <v>558</v>
      </c>
      <c r="C21" s="38" t="s">
        <v>558</v>
      </c>
      <c r="F21" s="88" t="s">
        <v>396</v>
      </c>
      <c r="G21" s="88" t="s">
        <v>404</v>
      </c>
      <c r="H21" s="88" t="s">
        <v>395</v>
      </c>
      <c r="I21" s="88" t="s">
        <v>448</v>
      </c>
      <c r="J21" s="88">
        <f t="shared" si="0"/>
        <v>2026</v>
      </c>
      <c r="K21" s="88" t="str">
        <f>IF(Intro!$G$20="English",Variables!H21&amp;" "&amp;Variables!J21,Variables!I21&amp;" "&amp;Variables!J21)</f>
        <v>Jul 2026</v>
      </c>
      <c r="L21" s="88" t="s">
        <v>402</v>
      </c>
    </row>
    <row r="22" spans="1:12" x14ac:dyDescent="0.3">
      <c r="F22" s="88" t="s">
        <v>397</v>
      </c>
      <c r="G22" s="88" t="s">
        <v>404</v>
      </c>
      <c r="H22" s="88" t="s">
        <v>411</v>
      </c>
      <c r="I22" s="88" t="s">
        <v>449</v>
      </c>
      <c r="J22" s="88">
        <f t="shared" si="0"/>
        <v>2026</v>
      </c>
      <c r="K22" s="88" t="str">
        <f>IF(Intro!$G$20="English",Variables!H22&amp;" "&amp;Variables!J22,Variables!I22&amp;" "&amp;Variables!J22)</f>
        <v>Jul-Aug 2026</v>
      </c>
      <c r="L22" s="88" t="s">
        <v>402</v>
      </c>
    </row>
    <row r="23" spans="1:12" x14ac:dyDescent="0.3">
      <c r="A23" s="99" t="s">
        <v>291</v>
      </c>
      <c r="B23" s="10" t="s">
        <v>292</v>
      </c>
      <c r="C23" s="10" t="s">
        <v>292</v>
      </c>
      <c r="F23" s="88" t="s">
        <v>398</v>
      </c>
      <c r="G23" s="88" t="s">
        <v>404</v>
      </c>
      <c r="H23" s="88" t="s">
        <v>412</v>
      </c>
      <c r="I23" s="88" t="s">
        <v>456</v>
      </c>
      <c r="J23" s="88">
        <f t="shared" si="0"/>
        <v>2026</v>
      </c>
      <c r="K23" s="88" t="str">
        <f>IF(Intro!$G$20="English",Variables!H23&amp;" "&amp;Variables!J23,Variables!I23&amp;" "&amp;Variables!J23)</f>
        <v>Jul-Sept 2026</v>
      </c>
      <c r="L23" s="88" t="s">
        <v>403</v>
      </c>
    </row>
    <row r="24" spans="1:12" x14ac:dyDescent="0.3">
      <c r="A24" s="99" t="s">
        <v>293</v>
      </c>
      <c r="B24" s="10" t="s">
        <v>294</v>
      </c>
      <c r="C24" s="10" t="s">
        <v>294</v>
      </c>
      <c r="F24" s="88" t="s">
        <v>399</v>
      </c>
      <c r="G24" s="88" t="s">
        <v>402</v>
      </c>
      <c r="H24" s="88" t="s">
        <v>398</v>
      </c>
      <c r="I24" s="88" t="s">
        <v>441</v>
      </c>
      <c r="J24" s="88">
        <f t="shared" si="0"/>
        <v>2026</v>
      </c>
      <c r="K24" s="88" t="str">
        <f>IF(Intro!$G$20="English",Variables!H24&amp;" "&amp;Variables!J24,Variables!I24&amp;" "&amp;Variables!J24)</f>
        <v>Oct 2026</v>
      </c>
      <c r="L24" s="88" t="s">
        <v>403</v>
      </c>
    </row>
    <row r="25" spans="1:12" x14ac:dyDescent="0.3">
      <c r="F25" s="88" t="s">
        <v>400</v>
      </c>
      <c r="G25" s="88" t="s">
        <v>402</v>
      </c>
      <c r="H25" s="88" t="s">
        <v>413</v>
      </c>
      <c r="I25" s="88" t="s">
        <v>450</v>
      </c>
      <c r="J25" s="88">
        <f t="shared" si="0"/>
        <v>2026</v>
      </c>
      <c r="K25" s="88" t="str">
        <f>IF(Intro!$G$20="English",Variables!H25&amp;" "&amp;Variables!J25,Variables!I25&amp;" "&amp;Variables!J25)</f>
        <v>Oct-Nov 2026</v>
      </c>
      <c r="L25" s="88" t="s">
        <v>403</v>
      </c>
    </row>
    <row r="26" spans="1:12" x14ac:dyDescent="0.3">
      <c r="A26" s="88" t="s">
        <v>99</v>
      </c>
      <c r="B26" s="10" t="s">
        <v>295</v>
      </c>
      <c r="C26" s="10" t="s">
        <v>432</v>
      </c>
    </row>
    <row r="27" spans="1:12" x14ac:dyDescent="0.3">
      <c r="A27" s="88" t="s">
        <v>242</v>
      </c>
      <c r="B27" s="10" t="s">
        <v>559</v>
      </c>
      <c r="C27" s="10" t="s">
        <v>560</v>
      </c>
    </row>
    <row r="29" spans="1:12" x14ac:dyDescent="0.3">
      <c r="A29" s="88" t="s">
        <v>250</v>
      </c>
      <c r="B29" s="38" t="s">
        <v>382</v>
      </c>
      <c r="C29" s="38" t="s">
        <v>383</v>
      </c>
    </row>
    <row r="30" spans="1:12" x14ac:dyDescent="0.3">
      <c r="A30" s="88" t="s">
        <v>100</v>
      </c>
      <c r="B30" s="10" t="s">
        <v>593</v>
      </c>
      <c r="C30" s="10" t="s">
        <v>594</v>
      </c>
    </row>
    <row r="31" spans="1:12" x14ac:dyDescent="0.3">
      <c r="A31" s="88" t="s">
        <v>101</v>
      </c>
      <c r="B31" s="10" t="s">
        <v>595</v>
      </c>
      <c r="C31" s="10" t="s">
        <v>596</v>
      </c>
    </row>
    <row r="32" spans="1:12" x14ac:dyDescent="0.3">
      <c r="A32" s="88" t="s">
        <v>102</v>
      </c>
      <c r="B32" s="10" t="s">
        <v>597</v>
      </c>
      <c r="C32" s="10" t="s">
        <v>598</v>
      </c>
    </row>
    <row r="33" spans="1:10" x14ac:dyDescent="0.3">
      <c r="A33" s="88" t="s">
        <v>103</v>
      </c>
      <c r="B33" s="10" t="s">
        <v>599</v>
      </c>
      <c r="C33" s="10" t="s">
        <v>600</v>
      </c>
    </row>
    <row r="34" spans="1:10" x14ac:dyDescent="0.3">
      <c r="A34" s="88" t="s">
        <v>104</v>
      </c>
      <c r="B34" s="10" t="s">
        <v>601</v>
      </c>
      <c r="C34" s="10" t="s">
        <v>602</v>
      </c>
    </row>
    <row r="35" spans="1:10" x14ac:dyDescent="0.3">
      <c r="A35" s="88" t="s">
        <v>200</v>
      </c>
      <c r="B35" s="10" t="s">
        <v>243</v>
      </c>
      <c r="C35" s="10" t="s">
        <v>243</v>
      </c>
    </row>
    <row r="36" spans="1:10" x14ac:dyDescent="0.3">
      <c r="A36" s="88" t="s">
        <v>226</v>
      </c>
      <c r="B36" s="10" t="s">
        <v>244</v>
      </c>
      <c r="C36" s="10" t="s">
        <v>244</v>
      </c>
    </row>
    <row r="37" spans="1:10" x14ac:dyDescent="0.3">
      <c r="A37" s="88" t="s">
        <v>227</v>
      </c>
      <c r="B37" s="10" t="s">
        <v>245</v>
      </c>
      <c r="C37" s="10" t="s">
        <v>245</v>
      </c>
    </row>
    <row r="39" spans="1:10" x14ac:dyDescent="0.3">
      <c r="A39" s="88" t="s">
        <v>256</v>
      </c>
      <c r="B39" s="286" t="s">
        <v>797</v>
      </c>
      <c r="C39" s="286" t="s">
        <v>798</v>
      </c>
      <c r="D39" s="287" t="s">
        <v>562</v>
      </c>
    </row>
    <row r="40" spans="1:10" x14ac:dyDescent="0.3">
      <c r="A40" s="88" t="s">
        <v>418</v>
      </c>
      <c r="B40" s="286">
        <v>46031</v>
      </c>
      <c r="C40" s="286"/>
    </row>
    <row r="41" spans="1:10" x14ac:dyDescent="0.3">
      <c r="A41" s="88" t="s">
        <v>419</v>
      </c>
      <c r="B41" s="211">
        <f>B40-90</f>
        <v>45941</v>
      </c>
      <c r="C41" s="212"/>
    </row>
    <row r="42" spans="1:10" x14ac:dyDescent="0.3">
      <c r="A42" s="88" t="s">
        <v>420</v>
      </c>
      <c r="B42" s="212" t="str">
        <f>VLOOKUP(TEXT(B41,"mmm"),F14:L25,7,FALSE)</f>
        <v>Q4</v>
      </c>
      <c r="C42" s="211"/>
    </row>
    <row r="43" spans="1:10" x14ac:dyDescent="0.3">
      <c r="A43" s="88" t="s">
        <v>414</v>
      </c>
      <c r="B43" s="213" t="str">
        <f>TEXT(((DATEVALUE(B11))-21),"mmm")</f>
        <v>May</v>
      </c>
      <c r="C43" s="213" t="s">
        <v>417</v>
      </c>
      <c r="D43" s="154"/>
    </row>
    <row r="44" spans="1:10" x14ac:dyDescent="0.3">
      <c r="A44" s="88" t="s">
        <v>415</v>
      </c>
      <c r="B44" s="211" t="str">
        <f>VLOOKUP(B43,F14:K25,6,FALSE)</f>
        <v>Apr 2026</v>
      </c>
      <c r="C44" s="211" t="s">
        <v>417</v>
      </c>
    </row>
    <row r="45" spans="1:10" x14ac:dyDescent="0.3">
      <c r="B45" s="293">
        <v>45748</v>
      </c>
      <c r="C45" s="293">
        <v>45901</v>
      </c>
      <c r="D45" s="293">
        <v>46113</v>
      </c>
      <c r="F45" s="293"/>
      <c r="G45" s="293"/>
      <c r="H45" s="293"/>
      <c r="I45" s="293"/>
      <c r="J45" s="293"/>
    </row>
    <row r="46" spans="1:10" x14ac:dyDescent="0.3">
      <c r="A46" s="495" t="s">
        <v>352</v>
      </c>
      <c r="B46" s="495"/>
      <c r="C46" s="495"/>
      <c r="D46" s="495"/>
    </row>
    <row r="47" spans="1:10" x14ac:dyDescent="0.3">
      <c r="A47" s="98" t="s">
        <v>359</v>
      </c>
      <c r="B47" s="38" t="s">
        <v>546</v>
      </c>
      <c r="C47" s="38" t="s">
        <v>561</v>
      </c>
      <c r="D47" s="88" t="str">
        <f>IF(Intro!$G$20="English",B47,C47)</f>
        <v>China</v>
      </c>
    </row>
    <row r="48" spans="1:10" x14ac:dyDescent="0.3">
      <c r="B48" s="10" t="s">
        <v>253</v>
      </c>
      <c r="C48" s="10" t="s">
        <v>254</v>
      </c>
      <c r="D48" s="88" t="str">
        <f>IF(Intro!$G$20="English",B48,C48)</f>
        <v>United States of America</v>
      </c>
    </row>
    <row r="49" spans="1:4" x14ac:dyDescent="0.3">
      <c r="A49" s="98"/>
      <c r="B49" s="10" t="s">
        <v>384</v>
      </c>
      <c r="C49" s="10" t="s">
        <v>385</v>
      </c>
      <c r="D49" s="88" t="str">
        <f>IF(Intro!$G$20="English",B49,C49)</f>
        <v>Other Countries</v>
      </c>
    </row>
    <row r="50" spans="1:4" x14ac:dyDescent="0.3">
      <c r="A50" s="98"/>
      <c r="B50" s="10" t="s">
        <v>353</v>
      </c>
      <c r="C50" s="10" t="s">
        <v>354</v>
      </c>
      <c r="D50" s="88" t="str">
        <f>IF(Intro!$G$20="English",B50,C50)</f>
        <v>Other country 3</v>
      </c>
    </row>
    <row r="51" spans="1:4" x14ac:dyDescent="0.3">
      <c r="A51" s="98"/>
      <c r="B51" s="10" t="s">
        <v>355</v>
      </c>
      <c r="C51" s="10" t="s">
        <v>356</v>
      </c>
      <c r="D51" s="88" t="str">
        <f>IF(Intro!$G$20="English",B51,C51)</f>
        <v>Other country 4</v>
      </c>
    </row>
    <row r="52" spans="1:4" x14ac:dyDescent="0.3">
      <c r="A52" s="98"/>
      <c r="B52" s="10" t="s">
        <v>357</v>
      </c>
      <c r="C52" s="10" t="s">
        <v>358</v>
      </c>
      <c r="D52" s="88" t="str">
        <f>IF(Intro!$G$20="English",B52,C52)</f>
        <v>Other country 5</v>
      </c>
    </row>
    <row r="54" spans="1:4" x14ac:dyDescent="0.3">
      <c r="A54" s="494" t="s">
        <v>363</v>
      </c>
      <c r="B54" s="494"/>
      <c r="C54" s="494"/>
      <c r="D54" s="494"/>
    </row>
    <row r="55" spans="1:4" x14ac:dyDescent="0.3">
      <c r="D55" s="110"/>
    </row>
    <row r="56" spans="1:4" x14ac:dyDescent="0.3">
      <c r="A56" s="88" t="s">
        <v>373</v>
      </c>
      <c r="B56" s="10" t="s">
        <v>374</v>
      </c>
      <c r="C56" s="10" t="s">
        <v>376</v>
      </c>
      <c r="D56" s="88" t="str">
        <f>IF(Intro!$G$20="English",B56,C56)</f>
        <v>Yes</v>
      </c>
    </row>
    <row r="57" spans="1:4" x14ac:dyDescent="0.3">
      <c r="B57" s="10" t="s">
        <v>375</v>
      </c>
      <c r="C57" s="10" t="s">
        <v>377</v>
      </c>
      <c r="D57" s="88" t="str">
        <f>IF(Intro!$G$20="English",B57,C57)</f>
        <v>No</v>
      </c>
    </row>
    <row r="58" spans="1:4" x14ac:dyDescent="0.3">
      <c r="D58" s="110"/>
    </row>
    <row r="59" spans="1:4" x14ac:dyDescent="0.3">
      <c r="A59" s="88" t="s">
        <v>351</v>
      </c>
      <c r="B59" s="10" t="s">
        <v>73</v>
      </c>
      <c r="C59" s="10" t="s">
        <v>63</v>
      </c>
      <c r="D59" s="88" t="str">
        <f>IF(Intro!$G$20="English",B59,C59)</f>
        <v>End user</v>
      </c>
    </row>
    <row r="60" spans="1:4" x14ac:dyDescent="0.3">
      <c r="B60" s="38" t="s">
        <v>327</v>
      </c>
      <c r="C60" s="38" t="s">
        <v>328</v>
      </c>
      <c r="D60" s="88" t="str">
        <f>IF(Intro!$G$20="English",B60,C60)</f>
        <v>Other</v>
      </c>
    </row>
    <row r="62" spans="1:4" x14ac:dyDescent="0.3">
      <c r="A62" s="88" t="s">
        <v>360</v>
      </c>
      <c r="B62" s="10" t="s">
        <v>487</v>
      </c>
      <c r="C62" s="10" t="s">
        <v>488</v>
      </c>
      <c r="D62" s="88" t="str">
        <f>IF(Intro!$G$20="English",B62,C62)</f>
        <v>Verification - volume</v>
      </c>
    </row>
    <row r="63" spans="1:4" x14ac:dyDescent="0.3">
      <c r="A63" s="88" t="s">
        <v>461</v>
      </c>
      <c r="B63" s="10" t="s">
        <v>188</v>
      </c>
      <c r="C63" s="10" t="s">
        <v>189</v>
      </c>
      <c r="D63" s="88" t="str">
        <f>IF(Intro!$G$20="English",B63,C63)</f>
        <v>Error</v>
      </c>
    </row>
    <row r="64" spans="1:4" x14ac:dyDescent="0.3">
      <c r="B64" s="10" t="s">
        <v>190</v>
      </c>
      <c r="C64" s="10" t="s">
        <v>255</v>
      </c>
      <c r="D64" s="88" t="str">
        <f>IF(Intro!$G$20="English",B64,C64)</f>
        <v>Okay</v>
      </c>
    </row>
    <row r="66" spans="1:4" x14ac:dyDescent="0.3">
      <c r="B66" s="10" t="s">
        <v>489</v>
      </c>
      <c r="C66" s="10" t="s">
        <v>490</v>
      </c>
      <c r="D66" s="88" t="str">
        <f>IF(Intro!$G$20="English",B66,C66)</f>
        <v>Verification - value</v>
      </c>
    </row>
    <row r="67" spans="1:4" x14ac:dyDescent="0.3">
      <c r="B67" s="10" t="s">
        <v>188</v>
      </c>
      <c r="C67" s="10" t="s">
        <v>189</v>
      </c>
      <c r="D67" s="88" t="str">
        <f>IF(Intro!$G$20="English",B67,C67)</f>
        <v>Error</v>
      </c>
    </row>
    <row r="68" spans="1:4" x14ac:dyDescent="0.3">
      <c r="B68" s="10" t="s">
        <v>190</v>
      </c>
      <c r="C68" s="10" t="s">
        <v>255</v>
      </c>
      <c r="D68" s="88" t="str">
        <f>IF(Intro!$G$20="English",B68,C68)</f>
        <v>Okay</v>
      </c>
    </row>
    <row r="70" spans="1:4" x14ac:dyDescent="0.3">
      <c r="A70" s="99" t="s">
        <v>563</v>
      </c>
      <c r="B70" s="38" t="s">
        <v>564</v>
      </c>
      <c r="C70" s="38" t="s">
        <v>565</v>
      </c>
    </row>
    <row r="71" spans="1:4" x14ac:dyDescent="0.3">
      <c r="A71" s="99" t="s">
        <v>566</v>
      </c>
      <c r="B71" s="38" t="s">
        <v>567</v>
      </c>
      <c r="C71" s="38" t="s">
        <v>568</v>
      </c>
    </row>
    <row r="72" spans="1:4" x14ac:dyDescent="0.3">
      <c r="A72" s="99" t="s">
        <v>569</v>
      </c>
      <c r="B72" s="38" t="s">
        <v>570</v>
      </c>
      <c r="C72" s="38" t="s">
        <v>590</v>
      </c>
    </row>
  </sheetData>
  <sheetProtection algorithmName="SHA-512" hashValue="6Fu5RXJTUoydfM5ItG/SMHJ8bCB9OL1aVg3FBVTkW4uKtJsXggYXRkI5JwHQFQmCgYbbdPjuNUhQoLsmP4Uqkw==" saltValue="uwWJx5w8HiKMl+Vggkgn6A==" spinCount="100000" sheet="1" objects="1" scenarios="1" selectLockedCells="1"/>
  <mergeCells count="3">
    <mergeCell ref="A54:D54"/>
    <mergeCell ref="A46:D46"/>
    <mergeCell ref="H13:I13"/>
  </mergeCells>
  <phoneticPr fontId="42" type="noConversion"/>
  <dataValidations disablePrompts="1" count="2">
    <dataValidation type="list" allowBlank="1" showInputMessage="1" showErrorMessage="1" sqref="C4" xr:uid="{64E01783-E2A1-499A-88EE-365861A8C513}">
      <formula1>"le dumping, le dumping et le subventionnement"</formula1>
    </dataValidation>
    <dataValidation type="list" allowBlank="1" showInputMessage="1" showErrorMessage="1" sqref="B4" xr:uid="{50D87C1C-65A3-4F62-8B64-4E737D3E763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299"/>
  <sheetViews>
    <sheetView showGridLines="0" topLeftCell="A20" zoomScaleNormal="100" workbookViewId="0">
      <selection activeCell="G27" sqref="G27"/>
    </sheetView>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PROTECTED</v>
      </c>
      <c r="C2" s="12"/>
      <c r="D2" s="12"/>
      <c r="O2" s="197" t="s">
        <v>93</v>
      </c>
      <c r="P2" s="197" t="s">
        <v>109</v>
      </c>
    </row>
    <row r="3" spans="1:16" x14ac:dyDescent="0.3">
      <c r="B3" s="13"/>
      <c r="C3" s="13"/>
      <c r="D3" s="13"/>
      <c r="O3" s="2"/>
      <c r="P3" s="2"/>
    </row>
    <row r="4" spans="1:16" s="2" customFormat="1" x14ac:dyDescent="0.3">
      <c r="A4" s="33"/>
      <c r="B4" s="588" t="str">
        <f>Info!B4</f>
        <v>IMPORTERS' QUESTIONNAIRE</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FORGED GRINDING MEDIA</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x14ac:dyDescent="0.3">
      <c r="A9" s="33"/>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x14ac:dyDescent="0.3">
      <c r="A10" s="33"/>
      <c r="B10" s="633" t="str">
        <f>IF(Intro!$G$20="English",O10,P10)</f>
        <v>Use one numbered "Imp-Exp" tab for each exporter your firm imported from. To acquire additional "Imp-Exp" tabs, contact a case analyst identified on the "Intro" tab.</v>
      </c>
      <c r="C10" s="634"/>
      <c r="D10" s="634"/>
      <c r="E10" s="634"/>
      <c r="F10" s="634"/>
      <c r="G10" s="634"/>
      <c r="H10" s="634"/>
      <c r="I10" s="634"/>
      <c r="J10" s="634"/>
      <c r="K10" s="634"/>
      <c r="L10" s="635"/>
      <c r="M10" s="19"/>
      <c r="N10" s="19"/>
      <c r="O10" s="10" t="s">
        <v>340</v>
      </c>
      <c r="P10" s="10" t="s">
        <v>339</v>
      </c>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For the questions in this tab, note the following:</v>
      </c>
      <c r="C12" s="634"/>
      <c r="D12" s="634"/>
      <c r="E12" s="634"/>
      <c r="F12" s="634"/>
      <c r="G12" s="634"/>
      <c r="H12" s="634"/>
      <c r="I12" s="634"/>
      <c r="J12" s="634"/>
      <c r="K12" s="634"/>
      <c r="L12" s="635"/>
      <c r="M12" s="19"/>
      <c r="N12" s="19"/>
      <c r="O12" s="15"/>
      <c r="P12" s="15"/>
    </row>
    <row r="13" spans="1:16" s="6" customFormat="1" x14ac:dyDescent="0.3">
      <c r="A13" s="33"/>
      <c r="B13" s="725" t="str">
        <f>Pro!B13</f>
        <v>• Report only sales from your firm’s imports. Sales of goods purchased from Canadian producers must be excluded.</v>
      </c>
      <c r="C13" s="726"/>
      <c r="D13" s="726"/>
      <c r="E13" s="726"/>
      <c r="F13" s="726"/>
      <c r="G13" s="726"/>
      <c r="H13" s="726"/>
      <c r="I13" s="726"/>
      <c r="J13" s="726"/>
      <c r="K13" s="726"/>
      <c r="L13" s="727"/>
      <c r="M13" s="19"/>
      <c r="N13" s="19"/>
      <c r="O13" s="15"/>
      <c r="P13" s="15"/>
    </row>
    <row r="14" spans="1:16" s="6" customFormat="1" x14ac:dyDescent="0.3">
      <c r="A14" s="33"/>
      <c r="B14" s="633" t="str">
        <f>Pro!B14</f>
        <v>• Report all sales to Canadian and foreign associated firms.</v>
      </c>
      <c r="C14" s="634"/>
      <c r="D14" s="634"/>
      <c r="E14" s="634"/>
      <c r="F14" s="634"/>
      <c r="G14" s="634"/>
      <c r="H14" s="634"/>
      <c r="I14" s="634"/>
      <c r="J14" s="634"/>
      <c r="K14" s="634"/>
      <c r="L14" s="635"/>
      <c r="M14" s="19"/>
      <c r="N14" s="19"/>
      <c r="O14" s="15"/>
      <c r="P14" s="15"/>
    </row>
    <row r="15" spans="1:16" s="6" customFormat="1" x14ac:dyDescent="0.3">
      <c r="A15" s="33"/>
      <c r="B15" s="633" t="str">
        <f>Pro!B15</f>
        <v>• Report all sales as of the date of shipment to the customer or the customer’s warehouse.</v>
      </c>
      <c r="C15" s="634"/>
      <c r="D15" s="634"/>
      <c r="E15" s="634"/>
      <c r="F15" s="634"/>
      <c r="G15" s="634"/>
      <c r="H15" s="634"/>
      <c r="I15" s="634"/>
      <c r="J15" s="634"/>
      <c r="K15" s="634"/>
      <c r="L15" s="635"/>
      <c r="M15" s="19"/>
      <c r="N15" s="19"/>
      <c r="O15" s="15"/>
      <c r="P15" s="15"/>
    </row>
    <row r="16" spans="1:16" s="6" customFormat="1" x14ac:dyDescent="0.3">
      <c r="A16" s="33"/>
      <c r="B16" s="633" t="str">
        <f>Pro!B16</f>
        <v>• Report all values in Canadian dollars.</v>
      </c>
      <c r="C16" s="634"/>
      <c r="D16" s="634"/>
      <c r="E16" s="634"/>
      <c r="F16" s="634"/>
      <c r="G16" s="634"/>
      <c r="H16" s="634"/>
      <c r="I16" s="634"/>
      <c r="J16" s="634"/>
      <c r="K16" s="634"/>
      <c r="L16" s="635"/>
      <c r="M16" s="19"/>
      <c r="N16" s="19"/>
      <c r="O16" s="15"/>
      <c r="P16" s="15"/>
    </row>
    <row r="17" spans="1:16" s="6" customFormat="1" x14ac:dyDescent="0.3">
      <c r="A17" s="33"/>
      <c r="B17" s="636" t="str">
        <f>IF(Intro!$G$20="English",O17,P17)</f>
        <v>• If your firm is an end user or a retailer, your firm does not need to report sales of imports or inventories of imports.</v>
      </c>
      <c r="C17" s="637"/>
      <c r="D17" s="637"/>
      <c r="E17" s="637"/>
      <c r="F17" s="637"/>
      <c r="G17" s="637"/>
      <c r="H17" s="637"/>
      <c r="I17" s="637"/>
      <c r="J17" s="637"/>
      <c r="K17" s="637"/>
      <c r="L17" s="638"/>
      <c r="M17" s="19"/>
      <c r="N17" s="19"/>
      <c r="O17" s="15" t="s">
        <v>264</v>
      </c>
      <c r="P17" s="15" t="s">
        <v>265</v>
      </c>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IMPORTS AND SALES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Provide your firm's imports and sales of imports of the goods from: </v>
      </c>
      <c r="C22" s="719"/>
      <c r="D22" s="719"/>
      <c r="E22" s="719"/>
      <c r="F22" s="719"/>
      <c r="G22" s="745" t="str">
        <f>Variables!D47</f>
        <v>China</v>
      </c>
      <c r="H22" s="745"/>
      <c r="I22" s="745"/>
      <c r="J22" s="745"/>
      <c r="K22" s="745"/>
      <c r="L22" s="67"/>
      <c r="M22" s="10"/>
      <c r="O22" s="10" t="s">
        <v>284</v>
      </c>
      <c r="P22" s="10" t="s">
        <v>285</v>
      </c>
    </row>
    <row r="23" spans="1:16" ht="15.6" x14ac:dyDescent="0.3">
      <c r="B23" s="747" t="str">
        <f>IF(Intro!$G$20="English",O23,P23)</f>
        <v xml:space="preserve">Exporter name: </v>
      </c>
      <c r="C23" s="748"/>
      <c r="D23" s="748"/>
      <c r="E23" s="748"/>
      <c r="F23" s="748"/>
      <c r="G23" s="746"/>
      <c r="H23" s="746"/>
      <c r="I23" s="746"/>
      <c r="J23" s="746"/>
      <c r="K23" s="746"/>
      <c r="L23" s="67"/>
      <c r="M23" s="10"/>
      <c r="O23" s="10" t="s">
        <v>167</v>
      </c>
      <c r="P23" s="10" t="s">
        <v>168</v>
      </c>
    </row>
    <row r="24" spans="1:16" x14ac:dyDescent="0.3">
      <c r="B24" s="135"/>
      <c r="C24" s="136"/>
      <c r="D24" s="136"/>
      <c r="E24" s="136"/>
      <c r="F24" s="136"/>
      <c r="G24" s="36"/>
      <c r="H24" s="36"/>
      <c r="I24" s="36"/>
      <c r="J24" s="36"/>
      <c r="K24" s="36"/>
      <c r="L24" s="17"/>
      <c r="M24" s="10"/>
    </row>
    <row r="25" spans="1:16" x14ac:dyDescent="0.3">
      <c r="B25" s="737" t="str">
        <f>IF(Intro!$G$20="English",O25,P25)</f>
        <v>Forged</v>
      </c>
      <c r="C25" s="738"/>
      <c r="D25" s="738"/>
      <c r="E25" s="738"/>
      <c r="F25" s="739"/>
      <c r="G25" s="222">
        <f>Variables!$B$6</f>
        <v>2023</v>
      </c>
      <c r="H25" s="222">
        <f>G25+1</f>
        <v>2024</v>
      </c>
      <c r="I25" s="222">
        <f>H25+1</f>
        <v>2025</v>
      </c>
      <c r="J25" s="222" t="str">
        <f>IF(Intro!$G$20="English",Variables!B9,Variables!C9)</f>
        <v>Jan-Mar 2025</v>
      </c>
      <c r="K25" s="222" t="str">
        <f>IF(Intro!$G$20="English",Variables!B10,Variables!C10)</f>
        <v>Jan-Mar 2026</v>
      </c>
      <c r="L25" s="71"/>
      <c r="M25" s="10"/>
      <c r="O25" s="18" t="str">
        <f>Variables!B70</f>
        <v>Forged</v>
      </c>
      <c r="P25" s="18" t="str">
        <f>Variables!C70</f>
        <v>Forgeage</v>
      </c>
    </row>
    <row r="26" spans="1:16" s="11" customFormat="1" x14ac:dyDescent="0.3">
      <c r="A26" s="32"/>
      <c r="B26" s="740" t="str">
        <f>IF(Intro!$G$20="English",O26,P26)</f>
        <v>Imports in Canada</v>
      </c>
      <c r="C26" s="741"/>
      <c r="D26" s="741"/>
      <c r="E26" s="741"/>
      <c r="F26" s="741"/>
      <c r="G26" s="741"/>
      <c r="H26" s="741"/>
      <c r="I26" s="741"/>
      <c r="J26" s="741"/>
      <c r="K26" s="741"/>
      <c r="L26" s="71"/>
      <c r="O26" s="26" t="s">
        <v>233</v>
      </c>
      <c r="P26" s="11" t="s">
        <v>234</v>
      </c>
    </row>
    <row r="27" spans="1:16" x14ac:dyDescent="0.3">
      <c r="B27" s="733" t="str">
        <f>IF(Intro!$G$20="English",O27,P27)</f>
        <v>Imports</v>
      </c>
      <c r="C27" s="734"/>
      <c r="D27" s="744" t="str">
        <f>IF(Intro!$G$20="English",Variables!$B$23,Variables!$C$23)</f>
        <v>tonnes</v>
      </c>
      <c r="E27" s="744"/>
      <c r="F27" s="744"/>
      <c r="G27" s="137"/>
      <c r="H27" s="137"/>
      <c r="I27" s="137"/>
      <c r="J27" s="137"/>
      <c r="K27" s="131"/>
      <c r="L27" s="71"/>
      <c r="M27" s="10"/>
      <c r="O27" s="10" t="s">
        <v>91</v>
      </c>
      <c r="P27" s="10" t="s">
        <v>169</v>
      </c>
    </row>
    <row r="28" spans="1:16" x14ac:dyDescent="0.3">
      <c r="B28" s="733"/>
      <c r="C28" s="734"/>
      <c r="D28" s="744" t="str">
        <f>IF(Intro!$G$20="English",O28,P28)</f>
        <v>net delivered purchase value (CAD)</v>
      </c>
      <c r="E28" s="744"/>
      <c r="F28" s="744"/>
      <c r="G28" s="137"/>
      <c r="H28" s="137"/>
      <c r="I28" s="137"/>
      <c r="J28" s="137"/>
      <c r="K28" s="131"/>
      <c r="L28" s="71"/>
      <c r="M28" s="10"/>
      <c r="O28" s="10" t="s">
        <v>342</v>
      </c>
      <c r="P28" s="10" t="s">
        <v>341</v>
      </c>
    </row>
    <row r="29" spans="1:16" x14ac:dyDescent="0.3">
      <c r="B29" s="733"/>
      <c r="C29" s="734"/>
      <c r="D29" s="744" t="str">
        <f>"$ / "&amp;IF(Intro!$G$20="English",Variables!$B$24,Variables!$C$24)</f>
        <v>$ / tonne</v>
      </c>
      <c r="E29" s="744"/>
      <c r="F29" s="744"/>
      <c r="G29" s="288" t="str">
        <f>IF(G27=0,"-",G28/G27)</f>
        <v>-</v>
      </c>
      <c r="H29" s="288" t="str">
        <f>IF(H27=0,"-",H28/H27)</f>
        <v>-</v>
      </c>
      <c r="I29" s="288" t="str">
        <f t="shared" ref="I29:K29" si="0">IF(I27=0,"-",I28/I27)</f>
        <v>-</v>
      </c>
      <c r="J29" s="288" t="str">
        <f t="shared" si="0"/>
        <v>-</v>
      </c>
      <c r="K29" s="288" t="str">
        <f t="shared" si="0"/>
        <v>-</v>
      </c>
      <c r="L29" s="71"/>
      <c r="M29" s="10"/>
    </row>
    <row r="30" spans="1:16" s="11" customFormat="1" x14ac:dyDescent="0.3">
      <c r="A30" s="32"/>
      <c r="B30" s="742" t="str">
        <f>IF(Intro!$G$20="English",O30,P30)</f>
        <v>Sales in Canada</v>
      </c>
      <c r="C30" s="743"/>
      <c r="D30" s="743"/>
      <c r="E30" s="743"/>
      <c r="F30" s="743"/>
      <c r="G30" s="743"/>
      <c r="H30" s="743"/>
      <c r="I30" s="743"/>
      <c r="J30" s="743"/>
      <c r="K30" s="743"/>
      <c r="L30" s="71"/>
      <c r="O30" s="26" t="s">
        <v>235</v>
      </c>
      <c r="P30" s="11" t="s">
        <v>236</v>
      </c>
    </row>
    <row r="31" spans="1:16" x14ac:dyDescent="0.3">
      <c r="B31" s="540" t="str">
        <f>IF(Intro!$G$20="English",O31,P31)</f>
        <v>Sales to end users in Canada</v>
      </c>
      <c r="C31" s="541"/>
      <c r="D31" s="744" t="str">
        <f>D27</f>
        <v>tonnes</v>
      </c>
      <c r="E31" s="744"/>
      <c r="F31" s="744"/>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44" t="str">
        <f>IF(Intro!$G$20="English",O32,P32)</f>
        <v>net delivered selling value (CAD)</v>
      </c>
      <c r="E32" s="744"/>
      <c r="F32" s="744"/>
      <c r="G32" s="137"/>
      <c r="H32" s="137"/>
      <c r="I32" s="137"/>
      <c r="J32" s="137"/>
      <c r="K32" s="131"/>
      <c r="L32" s="71"/>
      <c r="M32" s="10"/>
      <c r="O32" s="10" t="s">
        <v>344</v>
      </c>
      <c r="P32" s="10" t="s">
        <v>343</v>
      </c>
    </row>
    <row r="33" spans="1:17" ht="15" thickBot="1" x14ac:dyDescent="0.35">
      <c r="B33" s="752"/>
      <c r="C33" s="753"/>
      <c r="D33" s="769" t="str">
        <f>D29</f>
        <v>$ / tonne</v>
      </c>
      <c r="E33" s="769"/>
      <c r="F33" s="769"/>
      <c r="G33" s="156" t="str">
        <f>IF(G31=0,"-",G32/G31)</f>
        <v>-</v>
      </c>
      <c r="H33" s="156" t="str">
        <f>IF(H31=0,"-",H32/H31)</f>
        <v>-</v>
      </c>
      <c r="I33" s="156" t="str">
        <f t="shared" ref="I33" si="1">IF(I31=0,"-",I32/I31)</f>
        <v>-</v>
      </c>
      <c r="J33" s="156" t="str">
        <f t="shared" ref="J33" si="2">IF(J31=0,"-",J32/J31)</f>
        <v>-</v>
      </c>
      <c r="K33" s="156" t="str">
        <f t="shared" ref="K33" si="3">IF(K31=0,"-",K32/K31)</f>
        <v>-</v>
      </c>
      <c r="L33" s="71"/>
      <c r="M33" s="10"/>
    </row>
    <row r="34" spans="1:17" x14ac:dyDescent="0.3">
      <c r="B34" s="754" t="str">
        <f>IF(Intro!$G$20="English",O34,P34)</f>
        <v>Sales to other in Canada</v>
      </c>
      <c r="C34" s="755"/>
      <c r="D34" s="770" t="str">
        <f t="shared" ref="D34:D36" si="4">D31</f>
        <v>tonnes</v>
      </c>
      <c r="E34" s="770"/>
      <c r="F34" s="770"/>
      <c r="G34" s="137"/>
      <c r="H34" s="137"/>
      <c r="I34" s="137"/>
      <c r="J34" s="137"/>
      <c r="K34" s="131"/>
      <c r="L34" s="71"/>
      <c r="M34" s="10"/>
      <c r="O34" s="10" t="str">
        <f>"Sales to "&amp;Variables!$B$27&amp;" in Canada"</f>
        <v>Sales to other in Canada</v>
      </c>
      <c r="P34" s="10" t="str">
        <f>"Ventes aux "&amp;Variables!$C$27&amp;" au Canada"</f>
        <v>Ventes aux autre au Canada</v>
      </c>
    </row>
    <row r="35" spans="1:17" x14ac:dyDescent="0.3">
      <c r="B35" s="540"/>
      <c r="C35" s="541"/>
      <c r="D35" s="744" t="str">
        <f t="shared" si="4"/>
        <v>net delivered selling value (CAD)</v>
      </c>
      <c r="E35" s="744"/>
      <c r="F35" s="744"/>
      <c r="G35" s="137"/>
      <c r="H35" s="137"/>
      <c r="I35" s="137"/>
      <c r="J35" s="137"/>
      <c r="K35" s="131"/>
      <c r="L35" s="71"/>
      <c r="M35" s="10"/>
    </row>
    <row r="36" spans="1:17" ht="15" thickBot="1" x14ac:dyDescent="0.35">
      <c r="B36" s="752"/>
      <c r="C36" s="753"/>
      <c r="D36" s="769" t="str">
        <f t="shared" si="4"/>
        <v>$ / tonne</v>
      </c>
      <c r="E36" s="769"/>
      <c r="F36" s="769"/>
      <c r="G36" s="288" t="str">
        <f>IF(G34=0,"-",G35/G34)</f>
        <v>-</v>
      </c>
      <c r="H36" s="288" t="str">
        <f>IF(H34=0,"-",H35/H34)</f>
        <v>-</v>
      </c>
      <c r="I36" s="288" t="str">
        <f t="shared" ref="I36:K36" si="5">IF(I34=0,"-",I35/I34)</f>
        <v>-</v>
      </c>
      <c r="J36" s="288" t="str">
        <f t="shared" si="5"/>
        <v>-</v>
      </c>
      <c r="K36" s="288" t="str">
        <f t="shared" si="5"/>
        <v>-</v>
      </c>
      <c r="L36" s="71"/>
      <c r="M36" s="10"/>
    </row>
    <row r="37" spans="1:17" x14ac:dyDescent="0.3">
      <c r="B37" s="607" t="str">
        <f>IF(Intro!$G$20="English",O37,P37)</f>
        <v>Total sales in Canada</v>
      </c>
      <c r="C37" s="608"/>
      <c r="D37" s="749" t="str">
        <f>D34</f>
        <v>tonnes</v>
      </c>
      <c r="E37" s="749"/>
      <c r="F37" s="749"/>
      <c r="G37" s="139">
        <f t="shared" ref="G37:K38" si="6">G31+G34</f>
        <v>0</v>
      </c>
      <c r="H37" s="139">
        <f t="shared" si="6"/>
        <v>0</v>
      </c>
      <c r="I37" s="139">
        <f t="shared" si="6"/>
        <v>0</v>
      </c>
      <c r="J37" s="139">
        <f t="shared" si="6"/>
        <v>0</v>
      </c>
      <c r="K37" s="139">
        <f t="shared" si="6"/>
        <v>0</v>
      </c>
      <c r="L37" s="71"/>
      <c r="M37" s="10"/>
      <c r="O37" s="10" t="s">
        <v>345</v>
      </c>
      <c r="P37" s="10" t="s">
        <v>346</v>
      </c>
    </row>
    <row r="38" spans="1:17" x14ac:dyDescent="0.3">
      <c r="B38" s="596"/>
      <c r="C38" s="597"/>
      <c r="D38" s="771" t="str">
        <f>D35</f>
        <v>net delivered selling value (CAD)</v>
      </c>
      <c r="E38" s="771"/>
      <c r="F38" s="771"/>
      <c r="G38" s="138">
        <f t="shared" si="6"/>
        <v>0</v>
      </c>
      <c r="H38" s="138">
        <f t="shared" si="6"/>
        <v>0</v>
      </c>
      <c r="I38" s="138">
        <f t="shared" si="6"/>
        <v>0</v>
      </c>
      <c r="J38" s="138">
        <f t="shared" si="6"/>
        <v>0</v>
      </c>
      <c r="K38" s="138">
        <f t="shared" si="6"/>
        <v>0</v>
      </c>
      <c r="L38" s="71"/>
      <c r="M38" s="10"/>
    </row>
    <row r="39" spans="1:17" x14ac:dyDescent="0.3">
      <c r="B39" s="596"/>
      <c r="C39" s="597"/>
      <c r="D39" s="771" t="str">
        <f>D36</f>
        <v>$ / tonne</v>
      </c>
      <c r="E39" s="771"/>
      <c r="F39" s="771"/>
      <c r="G39" s="288" t="str">
        <f>IF(G37=0,"-",G38/G37)</f>
        <v>-</v>
      </c>
      <c r="H39" s="288" t="str">
        <f>IF(H37=0,"-",H38/H37)</f>
        <v>-</v>
      </c>
      <c r="I39" s="288" t="str">
        <f t="shared" ref="I39:K39" si="7">IF(I37=0,"-",I38/I37)</f>
        <v>-</v>
      </c>
      <c r="J39" s="288" t="str">
        <f t="shared" si="7"/>
        <v>-</v>
      </c>
      <c r="K39" s="288" t="str">
        <f t="shared" si="7"/>
        <v>-</v>
      </c>
      <c r="L39" s="71"/>
      <c r="M39" s="10"/>
    </row>
    <row r="40" spans="1:17" x14ac:dyDescent="0.3">
      <c r="B40" s="135"/>
      <c r="C40" s="136"/>
      <c r="D40" s="136"/>
      <c r="E40" s="136"/>
      <c r="F40" s="136"/>
      <c r="G40" s="36"/>
      <c r="H40" s="36"/>
      <c r="I40" s="36"/>
      <c r="J40" s="36"/>
      <c r="K40" s="36"/>
      <c r="L40" s="17"/>
      <c r="M40" s="10"/>
    </row>
    <row r="41" spans="1:17" x14ac:dyDescent="0.3">
      <c r="B41" s="737" t="str">
        <f>IF(Intro!$G$20="English",O41,P41)</f>
        <v>Stamped</v>
      </c>
      <c r="C41" s="738"/>
      <c r="D41" s="738"/>
      <c r="E41" s="738"/>
      <c r="F41" s="739"/>
      <c r="G41" s="266">
        <f>G25</f>
        <v>2023</v>
      </c>
      <c r="H41" s="266">
        <f>H25</f>
        <v>2024</v>
      </c>
      <c r="I41" s="266">
        <f t="shared" ref="I41:K41" si="8">I25</f>
        <v>2025</v>
      </c>
      <c r="J41" s="266" t="str">
        <f t="shared" si="8"/>
        <v>Jan-Mar 2025</v>
      </c>
      <c r="K41" s="266" t="str">
        <f t="shared" si="8"/>
        <v>Jan-Mar 2026</v>
      </c>
      <c r="L41" s="71"/>
      <c r="M41" s="10"/>
      <c r="O41" s="18" t="str">
        <f>Variables!B71</f>
        <v>Stamped</v>
      </c>
      <c r="P41" s="18" t="str">
        <f>Variables!C71</f>
        <v>Estampage</v>
      </c>
    </row>
    <row r="42" spans="1:17" s="262" customFormat="1" x14ac:dyDescent="0.3">
      <c r="A42" s="32"/>
      <c r="B42" s="740" t="str">
        <f>IF(Intro!$G$20="English",O42,P42)</f>
        <v>Imports in Canada</v>
      </c>
      <c r="C42" s="741"/>
      <c r="D42" s="741"/>
      <c r="E42" s="741"/>
      <c r="F42" s="741"/>
      <c r="G42" s="741"/>
      <c r="H42" s="741"/>
      <c r="I42" s="741"/>
      <c r="J42" s="741"/>
      <c r="K42" s="741"/>
      <c r="L42" s="71"/>
      <c r="O42" s="26" t="s">
        <v>233</v>
      </c>
      <c r="P42" s="262" t="s">
        <v>234</v>
      </c>
    </row>
    <row r="43" spans="1:17" x14ac:dyDescent="0.3">
      <c r="B43" s="733" t="str">
        <f>IF(Intro!$G$20="English",O43,P43)</f>
        <v>Imports</v>
      </c>
      <c r="C43" s="734"/>
      <c r="D43" s="744" t="str">
        <f>IF(Intro!$G$20="English",Variables!$B$23,Variables!$C$23)</f>
        <v>tonnes</v>
      </c>
      <c r="E43" s="744"/>
      <c r="F43" s="744"/>
      <c r="G43" s="137"/>
      <c r="H43" s="137"/>
      <c r="I43" s="137"/>
      <c r="J43" s="137"/>
      <c r="K43" s="131"/>
      <c r="L43" s="71"/>
      <c r="M43" s="10"/>
      <c r="O43" s="10" t="s">
        <v>91</v>
      </c>
      <c r="P43" s="10" t="s">
        <v>169</v>
      </c>
    </row>
    <row r="44" spans="1:17" x14ac:dyDescent="0.3">
      <c r="B44" s="733"/>
      <c r="C44" s="734"/>
      <c r="D44" s="744" t="str">
        <f>IF(Intro!$G$20="English",O44,P44)</f>
        <v>net delivered purchase value (CAD)</v>
      </c>
      <c r="E44" s="744"/>
      <c r="F44" s="744"/>
      <c r="G44" s="137"/>
      <c r="H44" s="137"/>
      <c r="I44" s="137"/>
      <c r="J44" s="137"/>
      <c r="K44" s="131"/>
      <c r="L44" s="71"/>
      <c r="M44" s="10"/>
      <c r="O44" s="10" t="s">
        <v>342</v>
      </c>
      <c r="P44" s="10" t="s">
        <v>341</v>
      </c>
    </row>
    <row r="45" spans="1:17" x14ac:dyDescent="0.3">
      <c r="B45" s="733"/>
      <c r="C45" s="734"/>
      <c r="D45" s="744" t="str">
        <f>"$ / "&amp;IF(Intro!$G$20="English",Variables!$B$24,Variables!$C$24)</f>
        <v>$ / tonne</v>
      </c>
      <c r="E45" s="744"/>
      <c r="F45" s="744"/>
      <c r="G45" s="288" t="str">
        <f>IF(G43=0,"-",G44/G43)</f>
        <v>-</v>
      </c>
      <c r="H45" s="288" t="str">
        <f>IF(H43=0,"-",H44/H43)</f>
        <v>-</v>
      </c>
      <c r="I45" s="288" t="str">
        <f t="shared" ref="I45:K45" si="9">IF(I43=0,"-",I44/I43)</f>
        <v>-</v>
      </c>
      <c r="J45" s="288" t="str">
        <f t="shared" si="9"/>
        <v>-</v>
      </c>
      <c r="K45" s="288" t="str">
        <f t="shared" si="9"/>
        <v>-</v>
      </c>
      <c r="L45" s="71"/>
      <c r="M45" s="10"/>
      <c r="Q45" s="10">
        <v>43</v>
      </c>
    </row>
    <row r="46" spans="1:17" s="262" customFormat="1" x14ac:dyDescent="0.3">
      <c r="A46" s="32"/>
      <c r="B46" s="742" t="str">
        <f>IF(Intro!$G$20="English",O46,P46)</f>
        <v>Sales in Canada</v>
      </c>
      <c r="C46" s="743"/>
      <c r="D46" s="743"/>
      <c r="E46" s="743"/>
      <c r="F46" s="743"/>
      <c r="G46" s="743"/>
      <c r="H46" s="743"/>
      <c r="I46" s="743"/>
      <c r="J46" s="743"/>
      <c r="K46" s="743"/>
      <c r="L46" s="71"/>
      <c r="O46" s="26" t="s">
        <v>235</v>
      </c>
      <c r="P46" s="262" t="s">
        <v>236</v>
      </c>
      <c r="Q46" s="262">
        <v>47</v>
      </c>
    </row>
    <row r="47" spans="1:17" x14ac:dyDescent="0.3">
      <c r="B47" s="540" t="str">
        <f>IF(Intro!$G$20="English",O47,P47)</f>
        <v>Sales to end users in Canada</v>
      </c>
      <c r="C47" s="541"/>
      <c r="D47" s="744" t="str">
        <f>D43</f>
        <v>tonnes</v>
      </c>
      <c r="E47" s="744"/>
      <c r="F47" s="744"/>
      <c r="G47" s="137"/>
      <c r="H47" s="137"/>
      <c r="I47" s="137"/>
      <c r="J47" s="137"/>
      <c r="K47" s="131"/>
      <c r="L47" s="71"/>
      <c r="M47" s="10"/>
      <c r="O47" s="10" t="str">
        <f>"Sales to "&amp;Variables!$B$26&amp;" in Canada"</f>
        <v>Sales to end users in Canada</v>
      </c>
      <c r="P47" s="10" t="str">
        <f>"Ventes aux "&amp;Variables!$C$26&amp;" au Canada"</f>
        <v>Ventes aux utilisateurs finals au Canada</v>
      </c>
      <c r="Q47" s="10">
        <v>50</v>
      </c>
    </row>
    <row r="48" spans="1:17" x14ac:dyDescent="0.3">
      <c r="B48" s="540"/>
      <c r="C48" s="541"/>
      <c r="D48" s="744" t="str">
        <f>IF(Intro!$G$20="English",O48,P48)</f>
        <v>net delivered selling value (CAD)</v>
      </c>
      <c r="E48" s="744"/>
      <c r="F48" s="744"/>
      <c r="G48" s="137"/>
      <c r="H48" s="137"/>
      <c r="I48" s="137"/>
      <c r="J48" s="137"/>
      <c r="K48" s="131"/>
      <c r="L48" s="71"/>
      <c r="M48" s="10"/>
      <c r="O48" s="10" t="s">
        <v>344</v>
      </c>
      <c r="P48" s="10" t="s">
        <v>343</v>
      </c>
    </row>
    <row r="49" spans="1:16" ht="15" thickBot="1" x14ac:dyDescent="0.35">
      <c r="B49" s="752"/>
      <c r="C49" s="753"/>
      <c r="D49" s="769" t="str">
        <f>D45</f>
        <v>$ / tonne</v>
      </c>
      <c r="E49" s="769"/>
      <c r="F49" s="769"/>
      <c r="G49" s="156" t="str">
        <f>IF(G47=0,"-",G48/G47)</f>
        <v>-</v>
      </c>
      <c r="H49" s="156" t="str">
        <f>IF(H47=0,"-",H48/H47)</f>
        <v>-</v>
      </c>
      <c r="I49" s="156" t="str">
        <f t="shared" ref="I49:K49" si="10">IF(I47=0,"-",I48/I47)</f>
        <v>-</v>
      </c>
      <c r="J49" s="156" t="str">
        <f t="shared" si="10"/>
        <v>-</v>
      </c>
      <c r="K49" s="156" t="str">
        <f t="shared" si="10"/>
        <v>-</v>
      </c>
      <c r="L49" s="71"/>
      <c r="M49" s="10"/>
    </row>
    <row r="50" spans="1:16" x14ac:dyDescent="0.3">
      <c r="B50" s="754" t="str">
        <f>IF(Intro!$G$20="English",O50,P50)</f>
        <v>Sales to other in Canada</v>
      </c>
      <c r="C50" s="755"/>
      <c r="D50" s="770" t="str">
        <f t="shared" ref="D50:D52" si="11">D47</f>
        <v>tonnes</v>
      </c>
      <c r="E50" s="770"/>
      <c r="F50" s="770"/>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44" t="str">
        <f t="shared" si="11"/>
        <v>net delivered selling value (CAD)</v>
      </c>
      <c r="E51" s="744"/>
      <c r="F51" s="744"/>
      <c r="G51" s="137"/>
      <c r="H51" s="137"/>
      <c r="I51" s="137"/>
      <c r="J51" s="137"/>
      <c r="K51" s="131"/>
      <c r="L51" s="71"/>
      <c r="M51" s="10"/>
    </row>
    <row r="52" spans="1:16" ht="15" thickBot="1" x14ac:dyDescent="0.35">
      <c r="B52" s="752"/>
      <c r="C52" s="753"/>
      <c r="D52" s="769" t="str">
        <f t="shared" si="11"/>
        <v>$ / tonne</v>
      </c>
      <c r="E52" s="769"/>
      <c r="F52" s="769"/>
      <c r="G52" s="288" t="str">
        <f>IF(G50=0,"-",G51/G50)</f>
        <v>-</v>
      </c>
      <c r="H52" s="288" t="str">
        <f>IF(H50=0,"-",H51/H50)</f>
        <v>-</v>
      </c>
      <c r="I52" s="288" t="str">
        <f t="shared" ref="I52:K52" si="12">IF(I50=0,"-",I51/I50)</f>
        <v>-</v>
      </c>
      <c r="J52" s="288" t="str">
        <f t="shared" si="12"/>
        <v>-</v>
      </c>
      <c r="K52" s="288" t="str">
        <f t="shared" si="12"/>
        <v>-</v>
      </c>
      <c r="L52" s="71"/>
      <c r="M52" s="10"/>
    </row>
    <row r="53" spans="1:16" x14ac:dyDescent="0.3">
      <c r="B53" s="607" t="str">
        <f>IF(Intro!$G$20="English",O53,P53)</f>
        <v>Total sales in Canada</v>
      </c>
      <c r="C53" s="608"/>
      <c r="D53" s="749" t="str">
        <f>D50</f>
        <v>tonnes</v>
      </c>
      <c r="E53" s="749"/>
      <c r="F53" s="749"/>
      <c r="G53" s="139">
        <f t="shared" ref="G53:K53" si="13">G47+G50</f>
        <v>0</v>
      </c>
      <c r="H53" s="139">
        <f t="shared" si="13"/>
        <v>0</v>
      </c>
      <c r="I53" s="139">
        <f t="shared" si="13"/>
        <v>0</v>
      </c>
      <c r="J53" s="139">
        <f t="shared" si="13"/>
        <v>0</v>
      </c>
      <c r="K53" s="139">
        <f t="shared" si="13"/>
        <v>0</v>
      </c>
      <c r="L53" s="71"/>
      <c r="M53" s="10"/>
      <c r="O53" s="10" t="s">
        <v>345</v>
      </c>
      <c r="P53" s="10" t="s">
        <v>346</v>
      </c>
    </row>
    <row r="54" spans="1:16" x14ac:dyDescent="0.3">
      <c r="B54" s="596"/>
      <c r="C54" s="597"/>
      <c r="D54" s="771" t="str">
        <f>D51</f>
        <v>net delivered selling value (CAD)</v>
      </c>
      <c r="E54" s="771"/>
      <c r="F54" s="771"/>
      <c r="G54" s="138">
        <f t="shared" ref="G54:K54" si="14">G48+G51</f>
        <v>0</v>
      </c>
      <c r="H54" s="138">
        <f t="shared" si="14"/>
        <v>0</v>
      </c>
      <c r="I54" s="138">
        <f t="shared" si="14"/>
        <v>0</v>
      </c>
      <c r="J54" s="138">
        <f t="shared" si="14"/>
        <v>0</v>
      </c>
      <c r="K54" s="138">
        <f t="shared" si="14"/>
        <v>0</v>
      </c>
      <c r="L54" s="71"/>
      <c r="M54" s="10"/>
    </row>
    <row r="55" spans="1:16" x14ac:dyDescent="0.3">
      <c r="B55" s="596"/>
      <c r="C55" s="597"/>
      <c r="D55" s="771" t="str">
        <f>D52</f>
        <v>$ / tonne</v>
      </c>
      <c r="E55" s="771"/>
      <c r="F55" s="771"/>
      <c r="G55" s="288" t="str">
        <f>IF(G53=0,"-",G54/G53)</f>
        <v>-</v>
      </c>
      <c r="H55" s="288" t="str">
        <f>IF(H53=0,"-",H54/H53)</f>
        <v>-</v>
      </c>
      <c r="I55" s="288" t="str">
        <f t="shared" ref="I55:K55" si="15">IF(I53=0,"-",I54/I53)</f>
        <v>-</v>
      </c>
      <c r="J55" s="288" t="str">
        <f t="shared" si="15"/>
        <v>-</v>
      </c>
      <c r="K55" s="288" t="str">
        <f t="shared" si="15"/>
        <v>-</v>
      </c>
      <c r="L55" s="71"/>
      <c r="M55" s="10"/>
    </row>
    <row r="56" spans="1:16" x14ac:dyDescent="0.3">
      <c r="B56" s="135"/>
      <c r="C56" s="136"/>
      <c r="D56" s="136"/>
      <c r="E56" s="136"/>
      <c r="F56" s="136"/>
      <c r="G56" s="36"/>
      <c r="H56" s="36"/>
      <c r="I56" s="36"/>
      <c r="J56" s="36"/>
      <c r="K56" s="36"/>
      <c r="L56" s="17"/>
      <c r="M56" s="10"/>
    </row>
    <row r="57" spans="1:16" x14ac:dyDescent="0.3">
      <c r="B57" s="737" t="str">
        <f>IF(Intro!$G$20="English",O57,P57)</f>
        <v>Unfinished (Green Balls)</v>
      </c>
      <c r="C57" s="738"/>
      <c r="D57" s="738"/>
      <c r="E57" s="738"/>
      <c r="F57" s="739"/>
      <c r="G57" s="266">
        <f>G41</f>
        <v>2023</v>
      </c>
      <c r="H57" s="266">
        <f>H41</f>
        <v>2024</v>
      </c>
      <c r="I57" s="266">
        <f t="shared" ref="I57:K57" si="16">I41</f>
        <v>2025</v>
      </c>
      <c r="J57" s="266" t="str">
        <f t="shared" si="16"/>
        <v>Jan-Mar 2025</v>
      </c>
      <c r="K57" s="266" t="str">
        <f t="shared" si="16"/>
        <v>Jan-Mar 2026</v>
      </c>
      <c r="L57" s="71"/>
      <c r="M57" s="10"/>
      <c r="O57" s="18" t="str">
        <f>Variables!B72</f>
        <v>Unfinished (Green Balls)</v>
      </c>
      <c r="P57" s="18" t="str">
        <f>Variables!C72</f>
        <v>Non finis (les boulets verts)</v>
      </c>
    </row>
    <row r="58" spans="1:16" s="262" customFormat="1" x14ac:dyDescent="0.3">
      <c r="A58" s="32"/>
      <c r="B58" s="740" t="str">
        <f>IF(Intro!$G$20="English",O58,P58)</f>
        <v>Imports in Canada</v>
      </c>
      <c r="C58" s="741"/>
      <c r="D58" s="741"/>
      <c r="E58" s="741"/>
      <c r="F58" s="741"/>
      <c r="G58" s="741"/>
      <c r="H58" s="741"/>
      <c r="I58" s="741"/>
      <c r="J58" s="741"/>
      <c r="K58" s="741"/>
      <c r="L58" s="71"/>
      <c r="O58" s="26" t="s">
        <v>233</v>
      </c>
      <c r="P58" s="262" t="s">
        <v>234</v>
      </c>
    </row>
    <row r="59" spans="1:16" x14ac:dyDescent="0.3">
      <c r="B59" s="733" t="str">
        <f>IF(Intro!$G$20="English",O59,P59)</f>
        <v>Imports</v>
      </c>
      <c r="C59" s="734"/>
      <c r="D59" s="744" t="str">
        <f>IF(Intro!$G$20="English",Variables!$B$23,Variables!$C$23)</f>
        <v>tonnes</v>
      </c>
      <c r="E59" s="744"/>
      <c r="F59" s="744"/>
      <c r="G59" s="137"/>
      <c r="H59" s="137"/>
      <c r="I59" s="137"/>
      <c r="J59" s="137"/>
      <c r="K59" s="131"/>
      <c r="L59" s="71"/>
      <c r="M59" s="10"/>
      <c r="O59" s="10" t="s">
        <v>91</v>
      </c>
      <c r="P59" s="10" t="s">
        <v>169</v>
      </c>
    </row>
    <row r="60" spans="1:16" x14ac:dyDescent="0.3">
      <c r="B60" s="733"/>
      <c r="C60" s="734"/>
      <c r="D60" s="744" t="str">
        <f>IF(Intro!$G$20="English",O60,P60)</f>
        <v>net delivered purchase value (CAD)</v>
      </c>
      <c r="E60" s="744"/>
      <c r="F60" s="744"/>
      <c r="G60" s="137"/>
      <c r="H60" s="137"/>
      <c r="I60" s="137"/>
      <c r="J60" s="137"/>
      <c r="K60" s="131"/>
      <c r="L60" s="71"/>
      <c r="M60" s="10"/>
      <c r="O60" s="10" t="s">
        <v>342</v>
      </c>
      <c r="P60" s="10" t="s">
        <v>341</v>
      </c>
    </row>
    <row r="61" spans="1:16" x14ac:dyDescent="0.3">
      <c r="B61" s="733"/>
      <c r="C61" s="734"/>
      <c r="D61" s="744" t="str">
        <f>"$ / "&amp;IF(Intro!$G$20="English",Variables!$B$24,Variables!$C$24)</f>
        <v>$ / tonne</v>
      </c>
      <c r="E61" s="744"/>
      <c r="F61" s="744"/>
      <c r="G61" s="288" t="str">
        <f>IF(G59=0,"-",G60/G59)</f>
        <v>-</v>
      </c>
      <c r="H61" s="288" t="str">
        <f>IF(H59=0,"-",H60/H59)</f>
        <v>-</v>
      </c>
      <c r="I61" s="288" t="str">
        <f t="shared" ref="I61:K61" si="17">IF(I59=0,"-",I60/I59)</f>
        <v>-</v>
      </c>
      <c r="J61" s="288" t="str">
        <f t="shared" si="17"/>
        <v>-</v>
      </c>
      <c r="K61" s="288" t="str">
        <f t="shared" si="17"/>
        <v>-</v>
      </c>
      <c r="L61" s="71"/>
      <c r="M61" s="10"/>
    </row>
    <row r="62" spans="1:16" s="262" customFormat="1" x14ac:dyDescent="0.3">
      <c r="A62" s="32"/>
      <c r="B62" s="742" t="str">
        <f>IF(Intro!$G$20="English",O62,P62)</f>
        <v>Sales in Canada</v>
      </c>
      <c r="C62" s="743"/>
      <c r="D62" s="743"/>
      <c r="E62" s="743"/>
      <c r="F62" s="743"/>
      <c r="G62" s="743"/>
      <c r="H62" s="743"/>
      <c r="I62" s="743"/>
      <c r="J62" s="743"/>
      <c r="K62" s="743"/>
      <c r="L62" s="71"/>
      <c r="O62" s="26" t="s">
        <v>235</v>
      </c>
      <c r="P62" s="262" t="s">
        <v>236</v>
      </c>
    </row>
    <row r="63" spans="1:16" x14ac:dyDescent="0.3">
      <c r="B63" s="540" t="str">
        <f>IF(Intro!$G$20="English",O63,P63)</f>
        <v>Sales to end users in Canada</v>
      </c>
      <c r="C63" s="541"/>
      <c r="D63" s="744" t="str">
        <f>D59</f>
        <v>tonnes</v>
      </c>
      <c r="E63" s="744"/>
      <c r="F63" s="744"/>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44" t="str">
        <f>IF(Intro!$G$20="English",O64,P64)</f>
        <v>net delivered selling value (CAD)</v>
      </c>
      <c r="E64" s="744"/>
      <c r="F64" s="744"/>
      <c r="G64" s="137"/>
      <c r="H64" s="137"/>
      <c r="I64" s="137"/>
      <c r="J64" s="137"/>
      <c r="K64" s="131"/>
      <c r="L64" s="71"/>
      <c r="M64" s="10"/>
      <c r="O64" s="10" t="s">
        <v>344</v>
      </c>
      <c r="P64" s="10" t="s">
        <v>343</v>
      </c>
    </row>
    <row r="65" spans="1:16" ht="15" thickBot="1" x14ac:dyDescent="0.35">
      <c r="B65" s="752"/>
      <c r="C65" s="753"/>
      <c r="D65" s="769" t="str">
        <f>D61</f>
        <v>$ / tonne</v>
      </c>
      <c r="E65" s="769"/>
      <c r="F65" s="769"/>
      <c r="G65" s="288" t="str">
        <f>IF(G63=0,"-",G64/G63)</f>
        <v>-</v>
      </c>
      <c r="H65" s="288" t="str">
        <f>IF(H63=0,"-",H64/H63)</f>
        <v>-</v>
      </c>
      <c r="I65" s="288" t="str">
        <f t="shared" ref="I65:K65" si="18">IF(I63=0,"-",I64/I63)</f>
        <v>-</v>
      </c>
      <c r="J65" s="288" t="str">
        <f t="shared" si="18"/>
        <v>-</v>
      </c>
      <c r="K65" s="288" t="str">
        <f t="shared" si="18"/>
        <v>-</v>
      </c>
      <c r="L65" s="71"/>
      <c r="M65" s="10"/>
    </row>
    <row r="66" spans="1:16" x14ac:dyDescent="0.3">
      <c r="B66" s="754" t="str">
        <f>IF(Intro!$G$20="English",O66,P66)</f>
        <v>Sales to other in Canada</v>
      </c>
      <c r="C66" s="755"/>
      <c r="D66" s="770" t="str">
        <f t="shared" ref="D66:D68" si="19">D63</f>
        <v>tonnes</v>
      </c>
      <c r="E66" s="770"/>
      <c r="F66" s="770"/>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44" t="str">
        <f t="shared" si="19"/>
        <v>net delivered selling value (CAD)</v>
      </c>
      <c r="E67" s="744"/>
      <c r="F67" s="744"/>
      <c r="G67" s="137"/>
      <c r="H67" s="137"/>
      <c r="I67" s="137"/>
      <c r="J67" s="137"/>
      <c r="K67" s="131"/>
      <c r="L67" s="71"/>
      <c r="M67" s="10"/>
    </row>
    <row r="68" spans="1:16" ht="15" thickBot="1" x14ac:dyDescent="0.35">
      <c r="B68" s="752"/>
      <c r="C68" s="753"/>
      <c r="D68" s="769" t="str">
        <f t="shared" si="19"/>
        <v>$ / tonne</v>
      </c>
      <c r="E68" s="769"/>
      <c r="F68" s="769"/>
      <c r="G68" s="288" t="str">
        <f>IF(G66=0,"-",G67/G66)</f>
        <v>-</v>
      </c>
      <c r="H68" s="288" t="str">
        <f>IF(H66=0,"-",H67/H66)</f>
        <v>-</v>
      </c>
      <c r="I68" s="288" t="str">
        <f t="shared" ref="I68:K68" si="20">IF(I66=0,"-",I67/I66)</f>
        <v>-</v>
      </c>
      <c r="J68" s="288" t="str">
        <f t="shared" si="20"/>
        <v>-</v>
      </c>
      <c r="K68" s="288" t="str">
        <f t="shared" si="20"/>
        <v>-</v>
      </c>
      <c r="L68" s="71"/>
      <c r="M68" s="10"/>
    </row>
    <row r="69" spans="1:16" x14ac:dyDescent="0.3">
      <c r="B69" s="607" t="str">
        <f>IF(Intro!$G$20="English",O69,P69)</f>
        <v>Total sales in Canada</v>
      </c>
      <c r="C69" s="608"/>
      <c r="D69" s="749" t="str">
        <f>D66</f>
        <v>tonnes</v>
      </c>
      <c r="E69" s="749"/>
      <c r="F69" s="749"/>
      <c r="G69" s="139">
        <f t="shared" ref="G69:K69" si="21">G63+G66</f>
        <v>0</v>
      </c>
      <c r="H69" s="139">
        <f t="shared" si="21"/>
        <v>0</v>
      </c>
      <c r="I69" s="139">
        <f t="shared" si="21"/>
        <v>0</v>
      </c>
      <c r="J69" s="139">
        <f t="shared" si="21"/>
        <v>0</v>
      </c>
      <c r="K69" s="139">
        <f t="shared" si="21"/>
        <v>0</v>
      </c>
      <c r="L69" s="71"/>
      <c r="M69" s="10"/>
      <c r="O69" s="10" t="s">
        <v>345</v>
      </c>
      <c r="P69" s="10" t="s">
        <v>346</v>
      </c>
    </row>
    <row r="70" spans="1:16" x14ac:dyDescent="0.3">
      <c r="B70" s="596"/>
      <c r="C70" s="597"/>
      <c r="D70" s="771" t="str">
        <f>D67</f>
        <v>net delivered selling value (CAD)</v>
      </c>
      <c r="E70" s="771"/>
      <c r="F70" s="771"/>
      <c r="G70" s="138">
        <f t="shared" ref="G70:K70" si="22">G64+G67</f>
        <v>0</v>
      </c>
      <c r="H70" s="138">
        <f t="shared" si="22"/>
        <v>0</v>
      </c>
      <c r="I70" s="138">
        <f t="shared" si="22"/>
        <v>0</v>
      </c>
      <c r="J70" s="138">
        <f t="shared" si="22"/>
        <v>0</v>
      </c>
      <c r="K70" s="138">
        <f t="shared" si="22"/>
        <v>0</v>
      </c>
      <c r="L70" s="71"/>
      <c r="M70" s="10"/>
    </row>
    <row r="71" spans="1:16" x14ac:dyDescent="0.3">
      <c r="B71" s="596"/>
      <c r="C71" s="597"/>
      <c r="D71" s="771" t="str">
        <f>D68</f>
        <v>$ / tonne</v>
      </c>
      <c r="E71" s="771"/>
      <c r="F71" s="771"/>
      <c r="G71" s="288" t="str">
        <f>IF(G69=0,"-",G70/G69)</f>
        <v>-</v>
      </c>
      <c r="H71" s="288" t="str">
        <f>IF(H69=0,"-",H70/H69)</f>
        <v>-</v>
      </c>
      <c r="I71" s="288" t="str">
        <f t="shared" ref="I71:K71" si="23">IF(I69=0,"-",I70/I69)</f>
        <v>-</v>
      </c>
      <c r="J71" s="288" t="str">
        <f t="shared" si="23"/>
        <v>-</v>
      </c>
      <c r="K71" s="288" t="str">
        <f t="shared" si="23"/>
        <v>-</v>
      </c>
      <c r="L71" s="71"/>
      <c r="M71" s="10"/>
    </row>
    <row r="72" spans="1:16" hidden="1" x14ac:dyDescent="0.3">
      <c r="B72" s="135"/>
      <c r="C72" s="136"/>
      <c r="D72" s="136"/>
      <c r="E72" s="136"/>
      <c r="F72" s="136"/>
      <c r="G72" s="36"/>
      <c r="H72" s="36"/>
      <c r="I72" s="36"/>
      <c r="J72" s="36"/>
      <c r="K72" s="36"/>
      <c r="L72" s="17"/>
      <c r="M72" s="10"/>
    </row>
    <row r="73" spans="1:16" hidden="1" x14ac:dyDescent="0.3">
      <c r="B73" s="135"/>
      <c r="C73" s="136"/>
      <c r="D73" s="136"/>
      <c r="E73" s="136"/>
      <c r="F73" s="136"/>
      <c r="G73" s="266">
        <f>G57</f>
        <v>2023</v>
      </c>
      <c r="H73" s="266">
        <f>H57</f>
        <v>2024</v>
      </c>
      <c r="I73" s="266">
        <f t="shared" ref="I73:K73" si="24">I57</f>
        <v>2025</v>
      </c>
      <c r="J73" s="266" t="str">
        <f t="shared" si="24"/>
        <v>Jan-Mar 2025</v>
      </c>
      <c r="K73" s="266" t="str">
        <f t="shared" si="24"/>
        <v>Jan-Mar 2026</v>
      </c>
      <c r="L73" s="71"/>
      <c r="M73" s="10"/>
      <c r="O73" s="18"/>
    </row>
    <row r="74" spans="1:16" s="262" customFormat="1" hidden="1" x14ac:dyDescent="0.3">
      <c r="A74" s="32"/>
      <c r="B74" s="740" t="str">
        <f>IF(Intro!$G$20="English",O74,P74)</f>
        <v>Imports in Canada</v>
      </c>
      <c r="C74" s="741"/>
      <c r="D74" s="741"/>
      <c r="E74" s="741"/>
      <c r="F74" s="741"/>
      <c r="G74" s="741"/>
      <c r="H74" s="741"/>
      <c r="I74" s="741"/>
      <c r="J74" s="741"/>
      <c r="K74" s="741"/>
      <c r="L74" s="71"/>
      <c r="O74" s="26" t="s">
        <v>233</v>
      </c>
      <c r="P74" s="262" t="s">
        <v>234</v>
      </c>
    </row>
    <row r="75" spans="1:16" hidden="1" x14ac:dyDescent="0.3">
      <c r="B75" s="733" t="str">
        <f>IF(Intro!$G$20="English",O75,P75)</f>
        <v>Imports</v>
      </c>
      <c r="C75" s="734"/>
      <c r="D75" s="744" t="str">
        <f>IF(Intro!$G$20="English",Variables!$B$23,Variables!$C$23)</f>
        <v>tonnes</v>
      </c>
      <c r="E75" s="744"/>
      <c r="F75" s="744"/>
      <c r="G75" s="137"/>
      <c r="H75" s="137"/>
      <c r="I75" s="137"/>
      <c r="J75" s="137"/>
      <c r="K75" s="131"/>
      <c r="L75" s="71"/>
      <c r="M75" s="10"/>
      <c r="O75" s="10" t="s">
        <v>91</v>
      </c>
      <c r="P75" s="10" t="s">
        <v>169</v>
      </c>
    </row>
    <row r="76" spans="1:16" hidden="1" x14ac:dyDescent="0.3">
      <c r="B76" s="733"/>
      <c r="C76" s="734"/>
      <c r="D76" s="744" t="str">
        <f>IF(Intro!$G$20="English",O76,P76)</f>
        <v>net delivered purchase value (CAD)</v>
      </c>
      <c r="E76" s="744"/>
      <c r="F76" s="744"/>
      <c r="G76" s="137"/>
      <c r="H76" s="137"/>
      <c r="I76" s="137"/>
      <c r="J76" s="137"/>
      <c r="K76" s="131"/>
      <c r="L76" s="71"/>
      <c r="M76" s="10"/>
      <c r="O76" s="10" t="s">
        <v>342</v>
      </c>
      <c r="P76" s="10" t="s">
        <v>341</v>
      </c>
    </row>
    <row r="77" spans="1:16" hidden="1" x14ac:dyDescent="0.3">
      <c r="B77" s="733"/>
      <c r="C77" s="734"/>
      <c r="D77" s="744" t="str">
        <f>"$ / "&amp;IF(Intro!$G$20="English",Variables!$B$24,Variables!$C$24)</f>
        <v>$ / tonne</v>
      </c>
      <c r="E77" s="744"/>
      <c r="F77" s="744"/>
      <c r="G77" s="156" t="str">
        <f>IF(G75=0,"-",G76/G75)</f>
        <v>-</v>
      </c>
      <c r="H77" s="156" t="str">
        <f>IF(H75=0,"-",H76/H75)</f>
        <v>-</v>
      </c>
      <c r="I77" s="156" t="str">
        <f t="shared" ref="I77:K77" si="25">IF(I75=0,"-",I76/I75)</f>
        <v>-</v>
      </c>
      <c r="J77" s="156" t="str">
        <f t="shared" si="25"/>
        <v>-</v>
      </c>
      <c r="K77" s="156" t="str">
        <f t="shared" si="25"/>
        <v>-</v>
      </c>
      <c r="L77" s="71"/>
      <c r="M77" s="10"/>
    </row>
    <row r="78" spans="1:16" s="262" customFormat="1" hidden="1" x14ac:dyDescent="0.3">
      <c r="A78" s="32"/>
      <c r="B78" s="742" t="str">
        <f>IF(Intro!$G$20="English",O78,P78)</f>
        <v>Sales in Canada</v>
      </c>
      <c r="C78" s="743"/>
      <c r="D78" s="743"/>
      <c r="E78" s="743"/>
      <c r="F78" s="743"/>
      <c r="G78" s="743"/>
      <c r="H78" s="743"/>
      <c r="I78" s="743"/>
      <c r="J78" s="743"/>
      <c r="K78" s="743"/>
      <c r="L78" s="71"/>
      <c r="O78" s="26" t="s">
        <v>235</v>
      </c>
      <c r="P78" s="262" t="s">
        <v>236</v>
      </c>
    </row>
    <row r="79" spans="1:16" hidden="1" x14ac:dyDescent="0.3">
      <c r="B79" s="540" t="str">
        <f>IF(Intro!$G$20="English",O79,P79)</f>
        <v>Sales to end users in Canada</v>
      </c>
      <c r="C79" s="541"/>
      <c r="D79" s="744" t="str">
        <f>D75</f>
        <v>tonnes</v>
      </c>
      <c r="E79" s="744"/>
      <c r="F79" s="744"/>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44" t="str">
        <f>IF(Intro!$G$20="English",O80,P80)</f>
        <v>net delivered selling value (CAD)</v>
      </c>
      <c r="E80" s="744"/>
      <c r="F80" s="744"/>
      <c r="G80" s="137"/>
      <c r="H80" s="137"/>
      <c r="I80" s="137"/>
      <c r="J80" s="137"/>
      <c r="K80" s="131"/>
      <c r="L80" s="71"/>
      <c r="M80" s="10"/>
      <c r="O80" s="10" t="s">
        <v>344</v>
      </c>
      <c r="P80" s="10" t="s">
        <v>343</v>
      </c>
    </row>
    <row r="81" spans="1:16" ht="15" hidden="1" thickBot="1" x14ac:dyDescent="0.35">
      <c r="B81" s="752"/>
      <c r="C81" s="753"/>
      <c r="D81" s="769" t="str">
        <f>D77</f>
        <v>$ / tonne</v>
      </c>
      <c r="E81" s="769"/>
      <c r="F81" s="769"/>
      <c r="G81" s="156" t="str">
        <f>IF(G79=0,"-",G80/G79)</f>
        <v>-</v>
      </c>
      <c r="H81" s="156" t="str">
        <f>IF(H79=0,"-",H80/H79)</f>
        <v>-</v>
      </c>
      <c r="I81" s="156" t="str">
        <f t="shared" ref="I81:K81" si="26">IF(I79=0,"-",I80/I79)</f>
        <v>-</v>
      </c>
      <c r="J81" s="156" t="str">
        <f t="shared" si="26"/>
        <v>-</v>
      </c>
      <c r="K81" s="156" t="str">
        <f t="shared" si="26"/>
        <v>-</v>
      </c>
      <c r="L81" s="71"/>
      <c r="M81" s="10"/>
    </row>
    <row r="82" spans="1:16" hidden="1" x14ac:dyDescent="0.3">
      <c r="B82" s="754" t="str">
        <f>IF(Intro!$G$20="English",O82,P82)</f>
        <v>Sales to other in Canada</v>
      </c>
      <c r="C82" s="755"/>
      <c r="D82" s="770" t="str">
        <f t="shared" ref="D82:D84" si="27">D79</f>
        <v>tonnes</v>
      </c>
      <c r="E82" s="770"/>
      <c r="F82" s="770"/>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44" t="str">
        <f t="shared" si="27"/>
        <v>net delivered selling value (CAD)</v>
      </c>
      <c r="E83" s="744"/>
      <c r="F83" s="744"/>
      <c r="G83" s="137"/>
      <c r="H83" s="137"/>
      <c r="I83" s="137"/>
      <c r="J83" s="137"/>
      <c r="K83" s="131"/>
      <c r="L83" s="71"/>
      <c r="M83" s="10"/>
    </row>
    <row r="84" spans="1:16" ht="15" hidden="1" thickBot="1" x14ac:dyDescent="0.35">
      <c r="B84" s="752"/>
      <c r="C84" s="753"/>
      <c r="D84" s="769" t="str">
        <f t="shared" si="27"/>
        <v>$ / tonne</v>
      </c>
      <c r="E84" s="769"/>
      <c r="F84" s="769"/>
      <c r="G84" s="156" t="str">
        <f>IF(G82=0,"-",G83/G82)</f>
        <v>-</v>
      </c>
      <c r="H84" s="156" t="str">
        <f>IF(H82=0,"-",H83/H82)</f>
        <v>-</v>
      </c>
      <c r="I84" s="156" t="str">
        <f t="shared" ref="I84:K84" si="28">IF(I82=0,"-",I83/I82)</f>
        <v>-</v>
      </c>
      <c r="J84" s="156" t="str">
        <f t="shared" si="28"/>
        <v>-</v>
      </c>
      <c r="K84" s="156" t="str">
        <f t="shared" si="28"/>
        <v>-</v>
      </c>
      <c r="L84" s="71"/>
      <c r="M84" s="10"/>
    </row>
    <row r="85" spans="1:16" hidden="1" x14ac:dyDescent="0.3">
      <c r="B85" s="607" t="str">
        <f>IF(Intro!$G$20="English",O85,P85)</f>
        <v>Total sales in Canada</v>
      </c>
      <c r="C85" s="608"/>
      <c r="D85" s="749" t="str">
        <f>D82</f>
        <v>tonnes</v>
      </c>
      <c r="E85" s="749"/>
      <c r="F85" s="749"/>
      <c r="G85" s="139">
        <f t="shared" ref="G85:K85" si="29">G79+G82</f>
        <v>0</v>
      </c>
      <c r="H85" s="139">
        <f t="shared" si="29"/>
        <v>0</v>
      </c>
      <c r="I85" s="139">
        <f t="shared" si="29"/>
        <v>0</v>
      </c>
      <c r="J85" s="139">
        <f t="shared" si="29"/>
        <v>0</v>
      </c>
      <c r="K85" s="139">
        <f t="shared" si="29"/>
        <v>0</v>
      </c>
      <c r="L85" s="71"/>
      <c r="M85" s="10"/>
      <c r="O85" s="10" t="s">
        <v>345</v>
      </c>
      <c r="P85" s="10" t="s">
        <v>346</v>
      </c>
    </row>
    <row r="86" spans="1:16" hidden="1" x14ac:dyDescent="0.3">
      <c r="B86" s="596"/>
      <c r="C86" s="597"/>
      <c r="D86" s="771" t="str">
        <f>D83</f>
        <v>net delivered selling value (CAD)</v>
      </c>
      <c r="E86" s="771"/>
      <c r="F86" s="771"/>
      <c r="G86" s="138">
        <f t="shared" ref="G86:K86" si="30">G80+G83</f>
        <v>0</v>
      </c>
      <c r="H86" s="138">
        <f t="shared" si="30"/>
        <v>0</v>
      </c>
      <c r="I86" s="138">
        <f t="shared" si="30"/>
        <v>0</v>
      </c>
      <c r="J86" s="138">
        <f t="shared" si="30"/>
        <v>0</v>
      </c>
      <c r="K86" s="138">
        <f t="shared" si="30"/>
        <v>0</v>
      </c>
      <c r="L86" s="71"/>
      <c r="M86" s="10"/>
    </row>
    <row r="87" spans="1:16" hidden="1" x14ac:dyDescent="0.3">
      <c r="B87" s="596"/>
      <c r="C87" s="597"/>
      <c r="D87" s="771" t="str">
        <f>D84</f>
        <v>$ / tonne</v>
      </c>
      <c r="E87" s="771"/>
      <c r="F87" s="771"/>
      <c r="G87" s="156" t="str">
        <f>IF(G85=0,"-",G86/G85)</f>
        <v>-</v>
      </c>
      <c r="H87" s="156" t="str">
        <f>IF(H85=0,"-",H86/H85)</f>
        <v>-</v>
      </c>
      <c r="I87" s="156" t="str">
        <f>IF(I85=0,"-",I86/I85)</f>
        <v>-</v>
      </c>
      <c r="J87" s="156" t="str">
        <f t="shared" ref="J87:K87" si="31">IF(J85=0,"-",J86/J85)</f>
        <v>-</v>
      </c>
      <c r="K87" s="156" t="str">
        <f t="shared" si="31"/>
        <v>-</v>
      </c>
      <c r="L87" s="71"/>
      <c r="M87" s="10"/>
    </row>
    <row r="88" spans="1:16" hidden="1" x14ac:dyDescent="0.3">
      <c r="B88" s="72"/>
      <c r="C88" s="69"/>
      <c r="D88" s="69"/>
      <c r="E88" s="69"/>
      <c r="F88" s="69"/>
      <c r="G88" s="69"/>
      <c r="H88" s="69"/>
      <c r="I88" s="69"/>
      <c r="J88" s="69"/>
      <c r="K88" s="69"/>
      <c r="L88" s="70"/>
      <c r="M88" s="10"/>
    </row>
    <row r="89" spans="1:16" s="11" customFormat="1" x14ac:dyDescent="0.3">
      <c r="A89" s="7"/>
      <c r="B89" s="31"/>
      <c r="C89" s="31"/>
      <c r="D89" s="90"/>
      <c r="E89" s="91"/>
      <c r="F89" s="91"/>
      <c r="G89" s="91"/>
      <c r="H89" s="91"/>
      <c r="I89" s="91"/>
      <c r="J89" s="91"/>
      <c r="K89" s="91"/>
      <c r="L89" s="91"/>
      <c r="M89" s="73"/>
    </row>
    <row r="90" spans="1:16" x14ac:dyDescent="0.3">
      <c r="B90" s="506" t="str">
        <f>IF(Intro!$G$20="English",O90,P90)</f>
        <v>SALES IN CANADA OF IMPORTS TO THE TOP FIVE ACCOUNTS</v>
      </c>
      <c r="C90" s="507"/>
      <c r="D90" s="507"/>
      <c r="E90" s="507"/>
      <c r="F90" s="507"/>
      <c r="G90" s="507"/>
      <c r="H90" s="507"/>
      <c r="I90" s="507"/>
      <c r="J90" s="507"/>
      <c r="K90" s="507"/>
      <c r="L90" s="508"/>
      <c r="M90" s="10"/>
      <c r="O90" s="107" t="s">
        <v>334</v>
      </c>
      <c r="P90" s="107" t="s">
        <v>433</v>
      </c>
    </row>
    <row r="91" spans="1:16" s="11"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 xml:space="preserve">Report the volume and value of sales of imports in Canada for each account listed below : </v>
      </c>
      <c r="C93" s="504"/>
      <c r="D93" s="504"/>
      <c r="E93" s="504"/>
      <c r="F93" s="504"/>
      <c r="G93" s="504"/>
      <c r="H93" s="504"/>
      <c r="I93" s="504"/>
      <c r="J93" s="504"/>
      <c r="K93" s="504"/>
      <c r="L93" s="505"/>
      <c r="M93" s="10"/>
      <c r="O93" s="18" t="s">
        <v>171</v>
      </c>
      <c r="P93" s="10" t="s">
        <v>172</v>
      </c>
    </row>
    <row r="94" spans="1:16" x14ac:dyDescent="0.3">
      <c r="B94" s="503" t="str">
        <f>Pro!B22</f>
        <v>Note - Only complete this question if your firm sold the goods between January 1, 2023, and March 31, 2026.</v>
      </c>
      <c r="C94" s="504"/>
      <c r="D94" s="504"/>
      <c r="E94" s="504"/>
      <c r="F94" s="504"/>
      <c r="G94" s="504"/>
      <c r="H94" s="504"/>
      <c r="I94" s="504"/>
      <c r="J94" s="504"/>
      <c r="K94" s="504"/>
      <c r="L94" s="505"/>
      <c r="M94" s="10"/>
      <c r="O94" s="18"/>
    </row>
    <row r="95" spans="1:16" x14ac:dyDescent="0.3">
      <c r="B95" s="61"/>
      <c r="C95" s="62"/>
      <c r="D95" s="35"/>
      <c r="E95" s="36"/>
      <c r="F95" s="36"/>
      <c r="G95" s="36"/>
      <c r="H95" s="36"/>
      <c r="I95" s="36"/>
      <c r="J95" s="36"/>
      <c r="K95" s="36"/>
      <c r="L95" s="17"/>
      <c r="M95" s="10"/>
      <c r="O95" s="18"/>
    </row>
    <row r="96" spans="1:16" x14ac:dyDescent="0.3">
      <c r="B96" s="779"/>
      <c r="C96" s="780"/>
      <c r="D96" s="781"/>
      <c r="E96" s="129" t="str">
        <f>IF(Intro!$G$20="English","Q","T")&amp;IF(MID(F96,2,1)&lt;&gt;"1",MID(F96,2,1)-1&amp;" - "&amp;MID(F96,6,4),"4 - "&amp;MID(F96,6,4)-1)</f>
        <v>Q2 - 2024</v>
      </c>
      <c r="F96" s="129" t="str">
        <f>IF(Intro!$G$20="English","Q","T")&amp;IF(MID(G96,2,1)&lt;&gt;"1",MID(G96,2,1)-1&amp;" - "&amp;MID(G96,6,4),"4 - "&amp;MID(G96,6,4)-1)</f>
        <v>Q3 - 2024</v>
      </c>
      <c r="G96" s="129" t="str">
        <f>IF(Intro!$G$20="English","Q","T")&amp;IF(MID(H96,2,1)&lt;&gt;"1",MID(H96,2,1)-1&amp;" - "&amp;MID(H96,6,4),"4 - "&amp;MID(H96,6,4)-1)</f>
        <v>Q4 - 2024</v>
      </c>
      <c r="H96" s="129" t="str">
        <f>IF(Intro!$G$20="English","Q","T")&amp;IF(MID(I96,2,1)&lt;&gt;"1",MID(I96,2,1)-1&amp;" - "&amp;MID(I96,6,4),"4 - "&amp;MID(I96,6,4)-1)</f>
        <v>Q1 - 2025</v>
      </c>
      <c r="I96" s="129" t="str">
        <f>IF(Intro!$G$20="English","Q","T")&amp;IF(MID(J96,2,1)&lt;&gt;"1",MID(J96,2,1)-1&amp;" - "&amp;MID(J96,6,4),"4 - "&amp;MID(J96,6,4)-1)</f>
        <v>Q2 - 2025</v>
      </c>
      <c r="J96" s="129" t="str">
        <f>IF(Intro!$G$20="English","Q","T")&amp;IF(MID(K96,2,1)&lt;&gt;"1",MID(K96,2,1)-1&amp;" - "&amp;MID(K96,6,4),"4 - "&amp;MID(K96,6,4)-1)</f>
        <v>Q3 - 2025</v>
      </c>
      <c r="K96" s="129" t="str">
        <f>IF(Intro!$G$20="English","Q","T")&amp;IF(MID(L96,2,1)&lt;&gt;"1",MID(L96,2,1)-1&amp;" - "&amp;MID(L96,6,4),"4 - "&amp;MID(L96,6,4)-1)</f>
        <v>Q4 - 2025</v>
      </c>
      <c r="L96" s="140" t="str">
        <f>IF(Intro!$G$20="English",Variables!B29&amp;" - ",Variables!C29&amp;" - ")&amp;Variables!B8</f>
        <v>Q1 - 2026</v>
      </c>
      <c r="M96" s="10"/>
      <c r="O96" s="18"/>
    </row>
    <row r="97" spans="2:16" x14ac:dyDescent="0.3">
      <c r="B97" s="766" t="str">
        <f>IF(Intro!$G$20="English",O98,P98)</f>
        <v xml:space="preserve">Account 1 - </v>
      </c>
      <c r="C97" s="767"/>
      <c r="D97" s="767"/>
      <c r="E97" s="767"/>
      <c r="F97" s="767"/>
      <c r="G97" s="767"/>
      <c r="H97" s="767"/>
      <c r="I97" s="767"/>
      <c r="J97" s="767"/>
      <c r="K97" s="767"/>
      <c r="L97" s="768"/>
      <c r="M97" s="10"/>
      <c r="O97" s="18"/>
    </row>
    <row r="98" spans="2:16" x14ac:dyDescent="0.3">
      <c r="B98" s="735" t="str">
        <f>D$31</f>
        <v>tonnes</v>
      </c>
      <c r="C98" s="736"/>
      <c r="D98" s="736"/>
      <c r="E98" s="141"/>
      <c r="F98" s="141"/>
      <c r="G98" s="141"/>
      <c r="H98" s="141"/>
      <c r="I98" s="141"/>
      <c r="J98" s="141"/>
      <c r="K98" s="141"/>
      <c r="L98" s="142"/>
      <c r="M98" s="10"/>
      <c r="O98" s="10" t="str">
        <f>"Account 1 - "&amp;Pro!C119</f>
        <v xml:space="preserve">Account 1 - </v>
      </c>
      <c r="P98" s="10" t="str">
        <f>"Client 1 - "&amp;Pro!C119</f>
        <v xml:space="preserve">Client 1 - </v>
      </c>
    </row>
    <row r="99" spans="2:16" x14ac:dyDescent="0.3">
      <c r="B99" s="735" t="str">
        <f>D$32</f>
        <v>net delivered selling value (CAD)</v>
      </c>
      <c r="C99" s="736"/>
      <c r="D99" s="736"/>
      <c r="E99" s="141"/>
      <c r="F99" s="141"/>
      <c r="G99" s="141"/>
      <c r="H99" s="141"/>
      <c r="I99" s="141"/>
      <c r="J99" s="141"/>
      <c r="K99" s="141"/>
      <c r="L99" s="142"/>
      <c r="M99" s="10"/>
    </row>
    <row r="100" spans="2:16" x14ac:dyDescent="0.3">
      <c r="B100" s="735" t="str">
        <f>D$33</f>
        <v>$ / tonne</v>
      </c>
      <c r="C100" s="736"/>
      <c r="D100" s="736"/>
      <c r="E100" s="289" t="str">
        <f>IF(E98=0,"-",E99/E98)</f>
        <v>-</v>
      </c>
      <c r="F100" s="289" t="str">
        <f t="shared" ref="F100:L100" si="32">IF(F98=0,"-",F99/F98)</f>
        <v>-</v>
      </c>
      <c r="G100" s="289" t="str">
        <f t="shared" si="32"/>
        <v>-</v>
      </c>
      <c r="H100" s="289" t="str">
        <f t="shared" si="32"/>
        <v>-</v>
      </c>
      <c r="I100" s="289" t="str">
        <f t="shared" si="32"/>
        <v>-</v>
      </c>
      <c r="J100" s="289" t="str">
        <f t="shared" si="32"/>
        <v>-</v>
      </c>
      <c r="K100" s="289" t="str">
        <f t="shared" si="32"/>
        <v>-</v>
      </c>
      <c r="L100" s="290" t="str">
        <f t="shared" si="32"/>
        <v>-</v>
      </c>
      <c r="M100" s="10"/>
    </row>
    <row r="101" spans="2:16" x14ac:dyDescent="0.3">
      <c r="B101" s="766" t="str">
        <f>IF(Intro!$G$20="English",O102,P102)</f>
        <v xml:space="preserve">Account 2 - </v>
      </c>
      <c r="C101" s="767"/>
      <c r="D101" s="767"/>
      <c r="E101" s="767"/>
      <c r="F101" s="767"/>
      <c r="G101" s="767"/>
      <c r="H101" s="767"/>
      <c r="I101" s="767"/>
      <c r="J101" s="767"/>
      <c r="K101" s="767"/>
      <c r="L101" s="768"/>
      <c r="M101" s="10"/>
    </row>
    <row r="102" spans="2:16" x14ac:dyDescent="0.3">
      <c r="B102" s="735" t="str">
        <f>D$31</f>
        <v>tonnes</v>
      </c>
      <c r="C102" s="736"/>
      <c r="D102" s="736"/>
      <c r="E102" s="141"/>
      <c r="F102" s="141"/>
      <c r="G102" s="141"/>
      <c r="H102" s="141"/>
      <c r="I102" s="141"/>
      <c r="J102" s="141"/>
      <c r="K102" s="141"/>
      <c r="L102" s="142"/>
      <c r="M102" s="10"/>
      <c r="O102" s="10" t="str">
        <f>"Account 2 - "&amp;Pro!C120</f>
        <v xml:space="preserve">Account 2 - </v>
      </c>
      <c r="P102" s="10" t="str">
        <f>"Client 2 - "&amp;Pro!C120</f>
        <v xml:space="preserve">Client 2 - </v>
      </c>
    </row>
    <row r="103" spans="2:16" x14ac:dyDescent="0.3">
      <c r="B103" s="735" t="str">
        <f>D$32</f>
        <v>net delivered selling value (CAD)</v>
      </c>
      <c r="C103" s="736"/>
      <c r="D103" s="736"/>
      <c r="E103" s="141"/>
      <c r="F103" s="141"/>
      <c r="G103" s="141"/>
      <c r="H103" s="141"/>
      <c r="I103" s="141"/>
      <c r="J103" s="141"/>
      <c r="K103" s="141"/>
      <c r="L103" s="142"/>
      <c r="M103" s="10"/>
    </row>
    <row r="104" spans="2:16" x14ac:dyDescent="0.3">
      <c r="B104" s="735" t="str">
        <f>D$33</f>
        <v>$ / tonne</v>
      </c>
      <c r="C104" s="736"/>
      <c r="D104" s="736"/>
      <c r="E104" s="289" t="str">
        <f>IF(E102=0,"-",E103/E102)</f>
        <v>-</v>
      </c>
      <c r="F104" s="289" t="str">
        <f t="shared" ref="F104:L104" si="33">IF(F102=0,"-",F103/F102)</f>
        <v>-</v>
      </c>
      <c r="G104" s="289" t="str">
        <f t="shared" si="33"/>
        <v>-</v>
      </c>
      <c r="H104" s="289" t="str">
        <f t="shared" si="33"/>
        <v>-</v>
      </c>
      <c r="I104" s="289" t="str">
        <f t="shared" si="33"/>
        <v>-</v>
      </c>
      <c r="J104" s="289" t="str">
        <f t="shared" si="33"/>
        <v>-</v>
      </c>
      <c r="K104" s="289" t="str">
        <f t="shared" si="33"/>
        <v>-</v>
      </c>
      <c r="L104" s="290" t="str">
        <f t="shared" si="33"/>
        <v>-</v>
      </c>
      <c r="M104" s="10"/>
    </row>
    <row r="105" spans="2:16" x14ac:dyDescent="0.3">
      <c r="B105" s="766" t="str">
        <f>IF(Intro!$G$20="English",O106,P106)</f>
        <v xml:space="preserve">Account 3 - </v>
      </c>
      <c r="C105" s="767"/>
      <c r="D105" s="767"/>
      <c r="E105" s="767"/>
      <c r="F105" s="767"/>
      <c r="G105" s="767"/>
      <c r="H105" s="767"/>
      <c r="I105" s="767"/>
      <c r="J105" s="767"/>
      <c r="K105" s="767"/>
      <c r="L105" s="768"/>
      <c r="M105" s="10"/>
    </row>
    <row r="106" spans="2:16" x14ac:dyDescent="0.3">
      <c r="B106" s="735" t="str">
        <f>D$31</f>
        <v>tonnes</v>
      </c>
      <c r="C106" s="736"/>
      <c r="D106" s="736"/>
      <c r="E106" s="141"/>
      <c r="F106" s="141"/>
      <c r="G106" s="141"/>
      <c r="H106" s="141"/>
      <c r="I106" s="141"/>
      <c r="J106" s="141"/>
      <c r="K106" s="141"/>
      <c r="L106" s="142"/>
      <c r="M106" s="10"/>
      <c r="O106" s="10" t="str">
        <f>"Account 3 - "&amp;Pro!C121</f>
        <v xml:space="preserve">Account 3 - </v>
      </c>
      <c r="P106" s="10" t="str">
        <f>"Client 3 - "&amp;Pro!C121</f>
        <v xml:space="preserve">Client 3 - </v>
      </c>
    </row>
    <row r="107" spans="2:16" x14ac:dyDescent="0.3">
      <c r="B107" s="735" t="str">
        <f>D$32</f>
        <v>net delivered selling value (CAD)</v>
      </c>
      <c r="C107" s="736"/>
      <c r="D107" s="736"/>
      <c r="E107" s="141"/>
      <c r="F107" s="141"/>
      <c r="G107" s="141"/>
      <c r="H107" s="141"/>
      <c r="I107" s="141"/>
      <c r="J107" s="141"/>
      <c r="K107" s="141"/>
      <c r="L107" s="142"/>
      <c r="M107" s="10"/>
    </row>
    <row r="108" spans="2:16" x14ac:dyDescent="0.3">
      <c r="B108" s="735" t="str">
        <f>D$33</f>
        <v>$ / tonne</v>
      </c>
      <c r="C108" s="736"/>
      <c r="D108" s="736"/>
      <c r="E108" s="289" t="str">
        <f>IF(E106=0,"-",E107/E106)</f>
        <v>-</v>
      </c>
      <c r="F108" s="289" t="str">
        <f t="shared" ref="F108:L108" si="34">IF(F106=0,"-",F107/F106)</f>
        <v>-</v>
      </c>
      <c r="G108" s="289" t="str">
        <f t="shared" si="34"/>
        <v>-</v>
      </c>
      <c r="H108" s="289" t="str">
        <f t="shared" si="34"/>
        <v>-</v>
      </c>
      <c r="I108" s="289" t="str">
        <f t="shared" si="34"/>
        <v>-</v>
      </c>
      <c r="J108" s="289" t="str">
        <f t="shared" si="34"/>
        <v>-</v>
      </c>
      <c r="K108" s="289" t="str">
        <f t="shared" si="34"/>
        <v>-</v>
      </c>
      <c r="L108" s="290" t="str">
        <f t="shared" si="34"/>
        <v>-</v>
      </c>
      <c r="M108" s="10"/>
    </row>
    <row r="109" spans="2:16" x14ac:dyDescent="0.3">
      <c r="B109" s="766" t="str">
        <f>IF(Intro!$G$20="English",O110,P110)</f>
        <v xml:space="preserve">Account 4 - </v>
      </c>
      <c r="C109" s="767"/>
      <c r="D109" s="767"/>
      <c r="E109" s="767"/>
      <c r="F109" s="767"/>
      <c r="G109" s="767"/>
      <c r="H109" s="767"/>
      <c r="I109" s="767"/>
      <c r="J109" s="767"/>
      <c r="K109" s="767"/>
      <c r="L109" s="768"/>
      <c r="M109" s="10"/>
    </row>
    <row r="110" spans="2:16" x14ac:dyDescent="0.3">
      <c r="B110" s="735" t="str">
        <f>D$31</f>
        <v>tonnes</v>
      </c>
      <c r="C110" s="736"/>
      <c r="D110" s="736"/>
      <c r="E110" s="141"/>
      <c r="F110" s="141"/>
      <c r="G110" s="141"/>
      <c r="H110" s="141"/>
      <c r="I110" s="141"/>
      <c r="J110" s="141"/>
      <c r="K110" s="141"/>
      <c r="L110" s="142"/>
      <c r="M110" s="10"/>
      <c r="O110" s="10" t="str">
        <f>"Account 4 - "&amp;Pro!C122</f>
        <v xml:space="preserve">Account 4 - </v>
      </c>
      <c r="P110" s="10" t="str">
        <f>"Client 4 - "&amp;Pro!C122</f>
        <v xml:space="preserve">Client 4 - </v>
      </c>
    </row>
    <row r="111" spans="2:16" x14ac:dyDescent="0.3">
      <c r="B111" s="735" t="str">
        <f>D$32</f>
        <v>net delivered selling value (CAD)</v>
      </c>
      <c r="C111" s="736"/>
      <c r="D111" s="736"/>
      <c r="E111" s="141"/>
      <c r="F111" s="141"/>
      <c r="G111" s="141"/>
      <c r="H111" s="141"/>
      <c r="I111" s="141"/>
      <c r="J111" s="141"/>
      <c r="K111" s="141"/>
      <c r="L111" s="142"/>
      <c r="M111" s="10"/>
    </row>
    <row r="112" spans="2:16" x14ac:dyDescent="0.3">
      <c r="B112" s="735" t="str">
        <f>D$33</f>
        <v>$ / tonne</v>
      </c>
      <c r="C112" s="736"/>
      <c r="D112" s="736"/>
      <c r="E112" s="289" t="str">
        <f>IF(E110=0,"-",E111/E110)</f>
        <v>-</v>
      </c>
      <c r="F112" s="289" t="str">
        <f t="shared" ref="F112:L112" si="35">IF(F110=0,"-",F111/F110)</f>
        <v>-</v>
      </c>
      <c r="G112" s="289" t="str">
        <f t="shared" si="35"/>
        <v>-</v>
      </c>
      <c r="H112" s="289" t="str">
        <f t="shared" si="35"/>
        <v>-</v>
      </c>
      <c r="I112" s="289" t="str">
        <f t="shared" si="35"/>
        <v>-</v>
      </c>
      <c r="J112" s="289" t="str">
        <f t="shared" si="35"/>
        <v>-</v>
      </c>
      <c r="K112" s="289" t="str">
        <f t="shared" si="35"/>
        <v>-</v>
      </c>
      <c r="L112" s="290" t="str">
        <f t="shared" si="35"/>
        <v>-</v>
      </c>
      <c r="M112" s="10"/>
    </row>
    <row r="113" spans="2:19" x14ac:dyDescent="0.3">
      <c r="B113" s="766" t="str">
        <f>IF(Intro!$G$20="English",O114,P114)</f>
        <v xml:space="preserve">Account 5 - </v>
      </c>
      <c r="C113" s="767"/>
      <c r="D113" s="767"/>
      <c r="E113" s="767"/>
      <c r="F113" s="767"/>
      <c r="G113" s="767"/>
      <c r="H113" s="767"/>
      <c r="I113" s="767"/>
      <c r="J113" s="767"/>
      <c r="K113" s="767"/>
      <c r="L113" s="768"/>
      <c r="M113" s="10"/>
    </row>
    <row r="114" spans="2:19" x14ac:dyDescent="0.3">
      <c r="B114" s="735" t="str">
        <f>D$31</f>
        <v>tonnes</v>
      </c>
      <c r="C114" s="736"/>
      <c r="D114" s="736"/>
      <c r="E114" s="141"/>
      <c r="F114" s="141"/>
      <c r="G114" s="141"/>
      <c r="H114" s="141"/>
      <c r="I114" s="141"/>
      <c r="J114" s="141"/>
      <c r="K114" s="141"/>
      <c r="L114" s="142"/>
      <c r="M114" s="10"/>
      <c r="O114" s="10" t="str">
        <f>"Account 5 - "&amp;Pro!C123</f>
        <v xml:space="preserve">Account 5 - </v>
      </c>
      <c r="P114" s="10" t="str">
        <f>"Client 5 - "&amp;Pro!C123</f>
        <v xml:space="preserve">Client 5 - </v>
      </c>
    </row>
    <row r="115" spans="2:19" x14ac:dyDescent="0.3">
      <c r="B115" s="735" t="str">
        <f>D$32</f>
        <v>net delivered selling value (CAD)</v>
      </c>
      <c r="C115" s="736"/>
      <c r="D115" s="736"/>
      <c r="E115" s="141"/>
      <c r="F115" s="141"/>
      <c r="G115" s="141"/>
      <c r="H115" s="141"/>
      <c r="I115" s="141"/>
      <c r="J115" s="141"/>
      <c r="K115" s="141"/>
      <c r="L115" s="142"/>
      <c r="M115" s="10"/>
    </row>
    <row r="116" spans="2:19" x14ac:dyDescent="0.3">
      <c r="B116" s="735" t="str">
        <f>D$33</f>
        <v>$ / tonne</v>
      </c>
      <c r="C116" s="736"/>
      <c r="D116" s="736"/>
      <c r="E116" s="289" t="str">
        <f>IF(E114=0,"-",E115/E114)</f>
        <v>-</v>
      </c>
      <c r="F116" s="289" t="str">
        <f t="shared" ref="F116:L116" si="36">IF(F114=0,"-",F115/F114)</f>
        <v>-</v>
      </c>
      <c r="G116" s="289" t="str">
        <f t="shared" si="36"/>
        <v>-</v>
      </c>
      <c r="H116" s="289" t="str">
        <f t="shared" si="36"/>
        <v>-</v>
      </c>
      <c r="I116" s="289" t="str">
        <f t="shared" si="36"/>
        <v>-</v>
      </c>
      <c r="J116" s="289" t="str">
        <f t="shared" si="36"/>
        <v>-</v>
      </c>
      <c r="K116" s="289" t="str">
        <f t="shared" si="36"/>
        <v>-</v>
      </c>
      <c r="L116" s="290" t="str">
        <f t="shared" si="36"/>
        <v>-</v>
      </c>
      <c r="M116" s="10"/>
    </row>
    <row r="117" spans="2:19" x14ac:dyDescent="0.3">
      <c r="B117" s="766" t="str">
        <f>IF(Intro!$G$20="English",O118,P118)</f>
        <v xml:space="preserve">Account 6 - </v>
      </c>
      <c r="C117" s="767"/>
      <c r="D117" s="767"/>
      <c r="E117" s="767"/>
      <c r="F117" s="767"/>
      <c r="G117" s="767"/>
      <c r="H117" s="767"/>
      <c r="I117" s="767"/>
      <c r="J117" s="767"/>
      <c r="K117" s="767"/>
      <c r="L117" s="768"/>
      <c r="M117" s="10"/>
    </row>
    <row r="118" spans="2:19" x14ac:dyDescent="0.3">
      <c r="B118" s="735" t="str">
        <f>D$31</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D$32</f>
        <v>net delivered selling value (CAD)</v>
      </c>
      <c r="C119" s="736"/>
      <c r="D119" s="736"/>
      <c r="E119" s="141"/>
      <c r="F119" s="141"/>
      <c r="G119" s="141"/>
      <c r="H119" s="141"/>
      <c r="I119" s="141"/>
      <c r="J119" s="141"/>
      <c r="K119" s="141"/>
      <c r="L119" s="142"/>
      <c r="M119" s="10"/>
    </row>
    <row r="120" spans="2:19" x14ac:dyDescent="0.3">
      <c r="B120" s="735" t="str">
        <f>D$33</f>
        <v>$ / tonne</v>
      </c>
      <c r="C120" s="736"/>
      <c r="D120" s="736"/>
      <c r="E120" s="289" t="str">
        <f>IF(E118=0,"-",E119/E118)</f>
        <v>-</v>
      </c>
      <c r="F120" s="289" t="str">
        <f t="shared" ref="F120:L120" si="37">IF(F118=0,"-",F119/F118)</f>
        <v>-</v>
      </c>
      <c r="G120" s="289" t="str">
        <f t="shared" si="37"/>
        <v>-</v>
      </c>
      <c r="H120" s="289" t="str">
        <f t="shared" si="37"/>
        <v>-</v>
      </c>
      <c r="I120" s="289" t="str">
        <f t="shared" si="37"/>
        <v>-</v>
      </c>
      <c r="J120" s="289" t="str">
        <f t="shared" si="37"/>
        <v>-</v>
      </c>
      <c r="K120" s="289" t="str">
        <f t="shared" si="37"/>
        <v>-</v>
      </c>
      <c r="L120" s="290" t="str">
        <f t="shared" si="37"/>
        <v>-</v>
      </c>
      <c r="M120" s="10"/>
    </row>
    <row r="121" spans="2:19" x14ac:dyDescent="0.3">
      <c r="B121" s="115"/>
      <c r="C121" s="116"/>
      <c r="D121" s="116"/>
      <c r="E121" s="29"/>
      <c r="F121" s="29"/>
      <c r="G121" s="29"/>
      <c r="H121" s="29"/>
      <c r="I121" s="29"/>
      <c r="J121" s="29"/>
      <c r="K121" s="29"/>
      <c r="L121" s="30"/>
      <c r="M121" s="10"/>
    </row>
    <row r="122" spans="2:19" x14ac:dyDescent="0.3">
      <c r="B122" s="503" t="str">
        <f>IF(Intro!$G$20="English",O122,P122)</f>
        <v>In the table below, “Error” means that the total sales to your firm’s top five accounts for that period exceed your firm’s total import sales for that period. Therefore, please modify the above data if necessary.</v>
      </c>
      <c r="C122" s="504"/>
      <c r="D122" s="504"/>
      <c r="E122" s="504"/>
      <c r="F122" s="504"/>
      <c r="G122" s="504"/>
      <c r="H122" s="504"/>
      <c r="I122" s="504"/>
      <c r="J122" s="504"/>
      <c r="K122" s="504"/>
      <c r="L122" s="505"/>
      <c r="M122" s="10"/>
      <c r="O122" s="10" t="s">
        <v>364</v>
      </c>
      <c r="P122" s="10" t="s">
        <v>365</v>
      </c>
      <c r="S122" s="38"/>
    </row>
    <row r="123" spans="2:19" x14ac:dyDescent="0.3">
      <c r="B123" s="503"/>
      <c r="C123" s="504"/>
      <c r="D123" s="504"/>
      <c r="E123" s="504"/>
      <c r="F123" s="504"/>
      <c r="G123" s="504"/>
      <c r="H123" s="504"/>
      <c r="I123" s="504"/>
      <c r="J123" s="504"/>
      <c r="K123" s="504"/>
      <c r="L123" s="505"/>
      <c r="M123" s="10"/>
      <c r="S123" s="38"/>
    </row>
    <row r="124" spans="2:19" x14ac:dyDescent="0.3">
      <c r="B124" s="61"/>
      <c r="C124" s="62"/>
      <c r="D124" s="62"/>
      <c r="E124" s="29"/>
      <c r="F124" s="29"/>
      <c r="G124" s="29"/>
      <c r="H124" s="29"/>
      <c r="I124" s="29"/>
      <c r="J124" s="29"/>
      <c r="K124" s="29"/>
      <c r="L124" s="30"/>
      <c r="M124" s="10"/>
      <c r="S124" s="38"/>
    </row>
    <row r="125" spans="2:19" ht="14.1" customHeight="1" x14ac:dyDescent="0.3">
      <c r="B125" s="756" t="str">
        <f>Variables!D62</f>
        <v>Verification - volume</v>
      </c>
      <c r="C125" s="617"/>
      <c r="D125" s="617"/>
      <c r="E125" s="617"/>
      <c r="F125" s="618"/>
      <c r="G125" s="221">
        <f>H125-1</f>
        <v>2024</v>
      </c>
      <c r="H125" s="221">
        <f>Variables!B8-1</f>
        <v>2025</v>
      </c>
      <c r="I125" s="221" t="str">
        <f>L96</f>
        <v>Q1 - 2026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Okay</v>
      </c>
      <c r="H126" s="232" t="str">
        <f>IF(SUM(H98:K98,H102:K102,H106:K106,H110:K110,H114:K114)&gt;SUM(I37,I53,I69),Variables!$D$63,Variables!$D$64)</f>
        <v>Okay</v>
      </c>
      <c r="I126" s="232" t="str">
        <f>IF(SUM(L98,L102,L106,L110,L114)&gt;SUM(K37,K53,K69),Variables!$D$63,Variables!$D$64)</f>
        <v>Okay</v>
      </c>
      <c r="J126" s="291"/>
      <c r="K126" s="291"/>
      <c r="L126" s="292"/>
      <c r="M126" s="10"/>
    </row>
    <row r="127" spans="2:19" ht="14.1" customHeight="1" x14ac:dyDescent="0.3">
      <c r="B127" s="757" t="str">
        <f>IF(Intro!$G$20="English",O127,P127)</f>
        <v>volume - total sales in Canada of imports to the top five accounts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sales in Canada of imports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Verification - value</v>
      </c>
      <c r="C129" s="764"/>
      <c r="D129" s="764"/>
      <c r="E129" s="764"/>
      <c r="F129" s="765"/>
      <c r="G129" s="221">
        <f>G125</f>
        <v>2024</v>
      </c>
      <c r="H129" s="221">
        <f>H125</f>
        <v>2025</v>
      </c>
      <c r="I129" s="221" t="str">
        <f>I125</f>
        <v>Q1 - 2026</v>
      </c>
      <c r="J129" s="291"/>
      <c r="K129" s="291"/>
      <c r="L129" s="292"/>
      <c r="M129" s="10"/>
    </row>
    <row r="130" spans="1:16" ht="14.1" customHeight="1" x14ac:dyDescent="0.3">
      <c r="B130" s="788" t="str">
        <f>D32</f>
        <v>net delivered selling value (CAD)</v>
      </c>
      <c r="C130" s="789"/>
      <c r="D130" s="789"/>
      <c r="E130" s="789"/>
      <c r="F130" s="790"/>
      <c r="G130" s="232" t="str">
        <f>IF(SUM(E99:G99,E103:G103,E107:G107,E111:G111,E115:G115)&gt;SUM(H38,H54,H70),Variables!$D$63,Variables!$D$64)</f>
        <v>Okay</v>
      </c>
      <c r="H130" s="232" t="str">
        <f>IF(SUM(H99:K99,H103:K103,H107:K107,H111:K111,H115:K115)&gt;SUM(I38,I54,I70),Variables!$D$63,Variables!$D$64)</f>
        <v>Okay</v>
      </c>
      <c r="I130" s="232" t="str">
        <f>IF(SUM(L99,L103,L107,L111,L115)&gt;SUM(K38,K54,K70),Variables!$D$63,Variables!$D$64)</f>
        <v>Okay</v>
      </c>
      <c r="J130" s="291"/>
      <c r="K130" s="291"/>
      <c r="L130" s="292"/>
      <c r="M130" s="10"/>
    </row>
    <row r="131" spans="1:16" ht="14.1" customHeight="1" x14ac:dyDescent="0.3">
      <c r="B131" s="791" t="str">
        <f>IF(Intro!$G$20="English",O131,P131)</f>
        <v>value - total sales in Canada of imports to the top five accounts (Question 2)</v>
      </c>
      <c r="C131" s="792"/>
      <c r="D131" s="792"/>
      <c r="E131" s="792"/>
      <c r="F131" s="793"/>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1" t="str">
        <f>IF(Intro!$G$20="English",O132,P132)</f>
        <v>value - total sales in Canada of imports (Question 1)</v>
      </c>
      <c r="C132" s="792"/>
      <c r="D132" s="792"/>
      <c r="E132" s="792"/>
      <c r="F132" s="793"/>
      <c r="G132" s="232">
        <f>H38</f>
        <v>0</v>
      </c>
      <c r="H132" s="232">
        <f>I38</f>
        <v>0</v>
      </c>
      <c r="I132" s="232">
        <f>K38</f>
        <v>0</v>
      </c>
      <c r="J132" s="291"/>
      <c r="K132" s="291"/>
      <c r="L132" s="292"/>
      <c r="M132" s="10"/>
      <c r="O132" s="10" t="s">
        <v>505</v>
      </c>
      <c r="P132" s="10" t="s">
        <v>503</v>
      </c>
    </row>
    <row r="133" spans="1:16" x14ac:dyDescent="0.3">
      <c r="B133" s="72"/>
      <c r="C133" s="69"/>
      <c r="D133" s="69"/>
      <c r="E133" s="69"/>
      <c r="F133" s="69"/>
      <c r="G133" s="69"/>
      <c r="H133" s="69"/>
      <c r="I133" s="69"/>
      <c r="J133" s="209"/>
      <c r="K133" s="209"/>
      <c r="L133" s="210"/>
      <c r="M133" s="10"/>
    </row>
    <row r="134" spans="1:16" s="11" customFormat="1" x14ac:dyDescent="0.3">
      <c r="A134" s="7"/>
      <c r="B134" s="31"/>
      <c r="C134" s="31"/>
      <c r="D134" s="90"/>
      <c r="E134" s="91"/>
      <c r="F134" s="91"/>
      <c r="G134" s="91"/>
      <c r="H134" s="91"/>
      <c r="I134" s="91"/>
      <c r="J134" s="91"/>
      <c r="K134" s="91"/>
      <c r="L134" s="91"/>
      <c r="M134" s="73"/>
    </row>
    <row r="135" spans="1:16" x14ac:dyDescent="0.3">
      <c r="B135" s="506" t="str">
        <f>IF(Intro!$G$20="English",O135,P135)</f>
        <v>IMPORTS OF BENCHMARK PRODUCTS</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 xml:space="preserve">Report the volume and value of imports for each benchmark product listed below : </v>
      </c>
      <c r="C138" s="504"/>
      <c r="D138" s="504"/>
      <c r="E138" s="504"/>
      <c r="F138" s="504"/>
      <c r="G138" s="504"/>
      <c r="H138" s="504"/>
      <c r="I138" s="504"/>
      <c r="J138" s="504"/>
      <c r="K138" s="504"/>
      <c r="L138" s="505"/>
      <c r="M138" s="10"/>
      <c r="O138" s="18" t="s">
        <v>191</v>
      </c>
      <c r="P138" s="10" t="s">
        <v>192</v>
      </c>
    </row>
    <row r="139" spans="1:16" x14ac:dyDescent="0.3">
      <c r="B139" s="61"/>
      <c r="C139" s="62"/>
      <c r="D139" s="35"/>
      <c r="E139" s="36"/>
      <c r="F139" s="36"/>
      <c r="G139" s="36"/>
      <c r="H139" s="36"/>
      <c r="I139" s="36"/>
      <c r="J139" s="36"/>
      <c r="K139" s="36"/>
      <c r="L139" s="17"/>
      <c r="M139" s="10"/>
      <c r="O139" s="18"/>
    </row>
    <row r="140" spans="1:16" x14ac:dyDescent="0.3">
      <c r="B140" s="779"/>
      <c r="C140" s="780"/>
      <c r="D140" s="781"/>
      <c r="E140" s="129" t="str">
        <f t="shared" ref="E140:L140" si="38">E96</f>
        <v>Q2 - 2024</v>
      </c>
      <c r="F140" s="129" t="str">
        <f t="shared" si="38"/>
        <v>Q3 - 2024</v>
      </c>
      <c r="G140" s="129" t="str">
        <f t="shared" si="38"/>
        <v>Q4 - 2024</v>
      </c>
      <c r="H140" s="129" t="str">
        <f t="shared" si="38"/>
        <v>Q1 - 2025</v>
      </c>
      <c r="I140" s="129" t="str">
        <f t="shared" si="38"/>
        <v>Q2 - 2025</v>
      </c>
      <c r="J140" s="129" t="str">
        <f t="shared" si="38"/>
        <v>Q3 - 2025</v>
      </c>
      <c r="K140" s="129" t="str">
        <f t="shared" si="38"/>
        <v>Q4 - 2025</v>
      </c>
      <c r="L140" s="140" t="str">
        <f t="shared" si="38"/>
        <v>Q1 - 2026</v>
      </c>
      <c r="M140" s="10"/>
      <c r="O140" s="18"/>
    </row>
    <row r="141" spans="1:16" x14ac:dyDescent="0.3">
      <c r="B141" s="772" t="str">
        <f>IF(Intro!$G$20="English",Variables!B30,Variables!C30)</f>
        <v>SAG Balls - 5.0" (125mm) within a 5% tolerance</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D$27</f>
        <v>tonnes</v>
      </c>
      <c r="C143" s="736"/>
      <c r="D143" s="736"/>
      <c r="E143" s="141"/>
      <c r="F143" s="141"/>
      <c r="G143" s="141"/>
      <c r="H143" s="141"/>
      <c r="I143" s="141"/>
      <c r="J143" s="141"/>
      <c r="K143" s="141"/>
      <c r="L143" s="142"/>
      <c r="M143" s="10"/>
    </row>
    <row r="144" spans="1:16" x14ac:dyDescent="0.3">
      <c r="B144" s="735" t="str">
        <f>D$28</f>
        <v>net delivered purchase value (CAD)</v>
      </c>
      <c r="C144" s="736"/>
      <c r="D144" s="736"/>
      <c r="E144" s="141"/>
      <c r="F144" s="141"/>
      <c r="G144" s="141"/>
      <c r="H144" s="141"/>
      <c r="I144" s="141"/>
      <c r="J144" s="141"/>
      <c r="K144" s="141"/>
      <c r="L144" s="142"/>
      <c r="M144" s="10"/>
    </row>
    <row r="145" spans="2:13" x14ac:dyDescent="0.3">
      <c r="B145" s="735" t="str">
        <f>D$29</f>
        <v>$ / tonne</v>
      </c>
      <c r="C145" s="736"/>
      <c r="D145" s="736"/>
      <c r="E145" s="289" t="str">
        <f t="shared" ref="E145:L145" si="39">IF(E143=0,"-",E144/E143)</f>
        <v>-</v>
      </c>
      <c r="F145" s="289" t="str">
        <f t="shared" si="39"/>
        <v>-</v>
      </c>
      <c r="G145" s="289" t="str">
        <f t="shared" si="39"/>
        <v>-</v>
      </c>
      <c r="H145" s="289" t="str">
        <f t="shared" si="39"/>
        <v>-</v>
      </c>
      <c r="I145" s="289" t="str">
        <f t="shared" si="39"/>
        <v>-</v>
      </c>
      <c r="J145" s="289" t="str">
        <f t="shared" si="39"/>
        <v>-</v>
      </c>
      <c r="K145" s="289" t="str">
        <f t="shared" si="39"/>
        <v>-</v>
      </c>
      <c r="L145" s="289" t="str">
        <f t="shared" si="39"/>
        <v>-</v>
      </c>
      <c r="M145" s="10"/>
    </row>
    <row r="146" spans="2:13" x14ac:dyDescent="0.3">
      <c r="B146" s="772" t="str">
        <f>IF(Intro!$G$20="English",Variables!B31,Variables!C31)</f>
        <v>SAG Balls - 5.25" (133mm) within a 5% tolerance</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D$27</f>
        <v>tonnes</v>
      </c>
      <c r="C148" s="736"/>
      <c r="D148" s="736"/>
      <c r="E148" s="141"/>
      <c r="F148" s="141"/>
      <c r="G148" s="141"/>
      <c r="H148" s="141"/>
      <c r="I148" s="141"/>
      <c r="J148" s="141"/>
      <c r="K148" s="141"/>
      <c r="L148" s="142"/>
      <c r="M148" s="10"/>
    </row>
    <row r="149" spans="2:13" x14ac:dyDescent="0.3">
      <c r="B149" s="735" t="str">
        <f>D$28</f>
        <v>net delivered purchase value (CAD)</v>
      </c>
      <c r="C149" s="736"/>
      <c r="D149" s="736"/>
      <c r="E149" s="141"/>
      <c r="F149" s="141"/>
      <c r="G149" s="141"/>
      <c r="H149" s="141"/>
      <c r="I149" s="141"/>
      <c r="J149" s="141"/>
      <c r="K149" s="141"/>
      <c r="L149" s="142"/>
      <c r="M149" s="10"/>
    </row>
    <row r="150" spans="2:13" x14ac:dyDescent="0.3">
      <c r="B150" s="735" t="str">
        <f>D$29</f>
        <v>$ / tonne</v>
      </c>
      <c r="C150" s="736"/>
      <c r="D150" s="736"/>
      <c r="E150" s="289" t="str">
        <f t="shared" ref="E150" si="40">IF(E148=0,"-",E149/E148)</f>
        <v>-</v>
      </c>
      <c r="F150" s="289" t="str">
        <f t="shared" ref="F150" si="41">IF(F148=0,"-",F149/F148)</f>
        <v>-</v>
      </c>
      <c r="G150" s="289" t="str">
        <f t="shared" ref="G150" si="42">IF(G148=0,"-",G149/G148)</f>
        <v>-</v>
      </c>
      <c r="H150" s="289" t="str">
        <f t="shared" ref="H150" si="43">IF(H148=0,"-",H149/H148)</f>
        <v>-</v>
      </c>
      <c r="I150" s="289" t="str">
        <f t="shared" ref="I150" si="44">IF(I148=0,"-",I149/I148)</f>
        <v>-</v>
      </c>
      <c r="J150" s="289" t="str">
        <f t="shared" ref="J150" si="45">IF(J148=0,"-",J149/J148)</f>
        <v>-</v>
      </c>
      <c r="K150" s="289" t="str">
        <f t="shared" ref="K150" si="46">IF(K148=0,"-",K149/K148)</f>
        <v>-</v>
      </c>
      <c r="L150" s="289" t="str">
        <f t="shared" ref="L150" si="47">IF(L148=0,"-",L149/L148)</f>
        <v>-</v>
      </c>
      <c r="M150" s="10"/>
    </row>
    <row r="151" spans="2:13" x14ac:dyDescent="0.3">
      <c r="B151" s="772" t="str">
        <f>IF(Intro!$G$20="English",Variables!B32,Variables!C32)</f>
        <v>Mid-size Balls - 2.5" (65mm) within a 5% tolerance</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D$27</f>
        <v>tonnes</v>
      </c>
      <c r="C153" s="736"/>
      <c r="D153" s="736"/>
      <c r="E153" s="141"/>
      <c r="F153" s="141"/>
      <c r="G153" s="141"/>
      <c r="H153" s="141"/>
      <c r="I153" s="141"/>
      <c r="J153" s="141"/>
      <c r="K153" s="141"/>
      <c r="L153" s="142"/>
      <c r="M153" s="10"/>
    </row>
    <row r="154" spans="2:13" x14ac:dyDescent="0.3">
      <c r="B154" s="735" t="str">
        <f>D$28</f>
        <v>net delivered purchase value (CAD)</v>
      </c>
      <c r="C154" s="736"/>
      <c r="D154" s="736"/>
      <c r="E154" s="141"/>
      <c r="F154" s="141"/>
      <c r="G154" s="141"/>
      <c r="H154" s="141"/>
      <c r="I154" s="141"/>
      <c r="J154" s="141"/>
      <c r="K154" s="141"/>
      <c r="L154" s="142"/>
      <c r="M154" s="10"/>
    </row>
    <row r="155" spans="2:13" x14ac:dyDescent="0.3">
      <c r="B155" s="735" t="str">
        <f>D$29</f>
        <v>$ / tonne</v>
      </c>
      <c r="C155" s="736"/>
      <c r="D155" s="736"/>
      <c r="E155" s="289" t="str">
        <f t="shared" ref="E155" si="48">IF(E153=0,"-",E154/E153)</f>
        <v>-</v>
      </c>
      <c r="F155" s="289" t="str">
        <f t="shared" ref="F155" si="49">IF(F153=0,"-",F154/F153)</f>
        <v>-</v>
      </c>
      <c r="G155" s="289" t="str">
        <f t="shared" ref="G155" si="50">IF(G153=0,"-",G154/G153)</f>
        <v>-</v>
      </c>
      <c r="H155" s="289" t="str">
        <f t="shared" ref="H155" si="51">IF(H153=0,"-",H154/H153)</f>
        <v>-</v>
      </c>
      <c r="I155" s="289" t="str">
        <f t="shared" ref="I155" si="52">IF(I153=0,"-",I154/I153)</f>
        <v>-</v>
      </c>
      <c r="J155" s="289" t="str">
        <f t="shared" ref="J155" si="53">IF(J153=0,"-",J154/J153)</f>
        <v>-</v>
      </c>
      <c r="K155" s="289" t="str">
        <f t="shared" ref="K155" si="54">IF(K153=0,"-",K154/K153)</f>
        <v>-</v>
      </c>
      <c r="L155" s="289" t="str">
        <f t="shared" ref="L155" si="55">IF(L153=0,"-",L154/L153)</f>
        <v>-</v>
      </c>
      <c r="M155" s="10"/>
    </row>
    <row r="156" spans="2:13" x14ac:dyDescent="0.3">
      <c r="B156" s="772" t="str">
        <f>IF(Intro!$G$20="English",Variables!B33,Variables!C33)</f>
        <v>Mid-size Balls - 3.5" (94mm) within a 5% tolerance</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D$27</f>
        <v>tonnes</v>
      </c>
      <c r="C158" s="736"/>
      <c r="D158" s="736"/>
      <c r="E158" s="141"/>
      <c r="F158" s="141"/>
      <c r="G158" s="141"/>
      <c r="H158" s="141"/>
      <c r="I158" s="141"/>
      <c r="J158" s="141"/>
      <c r="K158" s="141"/>
      <c r="L158" s="142"/>
      <c r="M158" s="10"/>
    </row>
    <row r="159" spans="2:13" x14ac:dyDescent="0.3">
      <c r="B159" s="735" t="str">
        <f>D$28</f>
        <v>net delivered purchase value (CAD)</v>
      </c>
      <c r="C159" s="736"/>
      <c r="D159" s="736"/>
      <c r="E159" s="141"/>
      <c r="F159" s="141"/>
      <c r="G159" s="141"/>
      <c r="H159" s="141"/>
      <c r="I159" s="141"/>
      <c r="J159" s="141"/>
      <c r="K159" s="141"/>
      <c r="L159" s="142"/>
      <c r="M159" s="10"/>
    </row>
    <row r="160" spans="2:13" x14ac:dyDescent="0.3">
      <c r="B160" s="735" t="str">
        <f>D$29</f>
        <v>$ / tonne</v>
      </c>
      <c r="C160" s="736"/>
      <c r="D160" s="736"/>
      <c r="E160" s="289" t="str">
        <f t="shared" ref="E160" si="56">IF(E158=0,"-",E159/E158)</f>
        <v>-</v>
      </c>
      <c r="F160" s="289" t="str">
        <f t="shared" ref="F160" si="57">IF(F158=0,"-",F159/F158)</f>
        <v>-</v>
      </c>
      <c r="G160" s="289" t="str">
        <f t="shared" ref="G160" si="58">IF(G158=0,"-",G159/G158)</f>
        <v>-</v>
      </c>
      <c r="H160" s="289" t="str">
        <f t="shared" ref="H160" si="59">IF(H158=0,"-",H159/H158)</f>
        <v>-</v>
      </c>
      <c r="I160" s="289" t="str">
        <f t="shared" ref="I160" si="60">IF(I158=0,"-",I159/I158)</f>
        <v>-</v>
      </c>
      <c r="J160" s="289" t="str">
        <f t="shared" ref="J160" si="61">IF(J158=0,"-",J159/J158)</f>
        <v>-</v>
      </c>
      <c r="K160" s="289" t="str">
        <f t="shared" ref="K160" si="62">IF(K158=0,"-",K159/K158)</f>
        <v>-</v>
      </c>
      <c r="L160" s="289" t="str">
        <f t="shared" ref="L160" si="63">IF(L158=0,"-",L159/L158)</f>
        <v>-</v>
      </c>
      <c r="M160" s="10"/>
    </row>
    <row r="161" spans="2:13" x14ac:dyDescent="0.3">
      <c r="B161" s="772" t="str">
        <f>IF(Intro!$G$20="English",Variables!B34,Variables!C34)</f>
        <v>Regrind Balls - 1.0" (25mm) within a 5% tolerance</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D$27</f>
        <v>tonnes</v>
      </c>
      <c r="C163" s="736"/>
      <c r="D163" s="736"/>
      <c r="E163" s="141"/>
      <c r="F163" s="141"/>
      <c r="G163" s="141"/>
      <c r="H163" s="141"/>
      <c r="I163" s="141"/>
      <c r="J163" s="141"/>
      <c r="K163" s="141"/>
      <c r="L163" s="142"/>
      <c r="M163" s="10"/>
    </row>
    <row r="164" spans="2:13" x14ac:dyDescent="0.3">
      <c r="B164" s="735" t="str">
        <f>D$28</f>
        <v>net delivered purchase value (CAD)</v>
      </c>
      <c r="C164" s="736"/>
      <c r="D164" s="736"/>
      <c r="E164" s="141"/>
      <c r="F164" s="141"/>
      <c r="G164" s="141"/>
      <c r="H164" s="141"/>
      <c r="I164" s="141"/>
      <c r="J164" s="141"/>
      <c r="K164" s="141"/>
      <c r="L164" s="142"/>
      <c r="M164" s="10"/>
    </row>
    <row r="165" spans="2:13" x14ac:dyDescent="0.3">
      <c r="B165" s="735" t="str">
        <f>D$29</f>
        <v>$ / tonne</v>
      </c>
      <c r="C165" s="736"/>
      <c r="D165" s="736"/>
      <c r="E165" s="289" t="str">
        <f t="shared" ref="E165" si="64">IF(E163=0,"-",E164/E163)</f>
        <v>-</v>
      </c>
      <c r="F165" s="289" t="str">
        <f t="shared" ref="F165" si="65">IF(F163=0,"-",F164/F163)</f>
        <v>-</v>
      </c>
      <c r="G165" s="289" t="str">
        <f t="shared" ref="G165" si="66">IF(G163=0,"-",G164/G163)</f>
        <v>-</v>
      </c>
      <c r="H165" s="289" t="str">
        <f t="shared" ref="H165" si="67">IF(H163=0,"-",H164/H163)</f>
        <v>-</v>
      </c>
      <c r="I165" s="289" t="str">
        <f t="shared" ref="I165" si="68">IF(I163=0,"-",I164/I163)</f>
        <v>-</v>
      </c>
      <c r="J165" s="289" t="str">
        <f t="shared" ref="J165" si="69">IF(J163=0,"-",J164/J163)</f>
        <v>-</v>
      </c>
      <c r="K165" s="289" t="str">
        <f t="shared" ref="K165" si="70">IF(K163=0,"-",K164/K163)</f>
        <v>-</v>
      </c>
      <c r="L165" s="289" t="str">
        <f t="shared" ref="L165" si="71">IF(L163=0,"-",L164/L163)</f>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D$27</f>
        <v>tonnes</v>
      </c>
      <c r="C168" s="777"/>
      <c r="D168" s="778"/>
      <c r="E168" s="141"/>
      <c r="F168" s="141"/>
      <c r="G168" s="141"/>
      <c r="H168" s="141"/>
      <c r="I168" s="141"/>
      <c r="J168" s="141"/>
      <c r="K168" s="141"/>
      <c r="L168" s="142"/>
      <c r="M168" s="10"/>
    </row>
    <row r="169" spans="2:13" hidden="1" x14ac:dyDescent="0.3">
      <c r="B169" s="776" t="str">
        <f>D$28</f>
        <v>net delivered purchase value (CAD)</v>
      </c>
      <c r="C169" s="777"/>
      <c r="D169" s="778"/>
      <c r="E169" s="141"/>
      <c r="F169" s="141"/>
      <c r="G169" s="141"/>
      <c r="H169" s="141"/>
      <c r="I169" s="141"/>
      <c r="J169" s="141"/>
      <c r="K169" s="141"/>
      <c r="L169" s="142"/>
      <c r="M169" s="10"/>
    </row>
    <row r="170" spans="2:13" hidden="1" x14ac:dyDescent="0.3">
      <c r="B170" s="776" t="str">
        <f>D$29</f>
        <v>$ / tonne</v>
      </c>
      <c r="C170" s="777"/>
      <c r="D170" s="778"/>
      <c r="E170" s="289" t="str">
        <f t="shared" ref="E170" si="72">IF(E168=0,"-",E169/E168)</f>
        <v>-</v>
      </c>
      <c r="F170" s="289" t="str">
        <f t="shared" ref="F170" si="73">IF(F168=0,"-",F169/F168)</f>
        <v>-</v>
      </c>
      <c r="G170" s="289" t="str">
        <f t="shared" ref="G170" si="74">IF(G168=0,"-",G169/G168)</f>
        <v>-</v>
      </c>
      <c r="H170" s="289" t="str">
        <f t="shared" ref="H170" si="75">IF(H168=0,"-",H169/H168)</f>
        <v>-</v>
      </c>
      <c r="I170" s="289" t="str">
        <f t="shared" ref="I170" si="76">IF(I168=0,"-",I169/I168)</f>
        <v>-</v>
      </c>
      <c r="J170" s="289" t="str">
        <f t="shared" ref="J170" si="77">IF(J168=0,"-",J169/J168)</f>
        <v>-</v>
      </c>
      <c r="K170" s="289" t="str">
        <f t="shared" ref="K170" si="78">IF(K168=0,"-",K169/K168)</f>
        <v>-</v>
      </c>
      <c r="L170" s="289" t="str">
        <f t="shared" ref="L170" si="79">IF(L168=0,"-",L169/L168)</f>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D$27</f>
        <v>tonnes</v>
      </c>
      <c r="C173" s="777"/>
      <c r="D173" s="778"/>
      <c r="E173" s="141"/>
      <c r="F173" s="141"/>
      <c r="G173" s="141"/>
      <c r="H173" s="141"/>
      <c r="I173" s="141"/>
      <c r="J173" s="141"/>
      <c r="K173" s="141"/>
      <c r="L173" s="142"/>
      <c r="M173" s="10"/>
    </row>
    <row r="174" spans="2:13" hidden="1" x14ac:dyDescent="0.3">
      <c r="B174" s="776" t="str">
        <f>D$28</f>
        <v>net delivered purchase value (CAD)</v>
      </c>
      <c r="C174" s="777"/>
      <c r="D174" s="778"/>
      <c r="E174" s="141"/>
      <c r="F174" s="141"/>
      <c r="G174" s="141"/>
      <c r="H174" s="141"/>
      <c r="I174" s="141"/>
      <c r="J174" s="141"/>
      <c r="K174" s="141"/>
      <c r="L174" s="142"/>
      <c r="M174" s="10"/>
    </row>
    <row r="175" spans="2:13" hidden="1" x14ac:dyDescent="0.3">
      <c r="B175" s="776" t="str">
        <f>D$29</f>
        <v>$ / tonne</v>
      </c>
      <c r="C175" s="777"/>
      <c r="D175" s="778"/>
      <c r="E175" s="289" t="str">
        <f t="shared" ref="E175" si="80">IF(E173=0,"-",E174/E173)</f>
        <v>-</v>
      </c>
      <c r="F175" s="289" t="str">
        <f t="shared" ref="F175" si="81">IF(F173=0,"-",F174/F173)</f>
        <v>-</v>
      </c>
      <c r="G175" s="289" t="str">
        <f t="shared" ref="G175" si="82">IF(G173=0,"-",G174/G173)</f>
        <v>-</v>
      </c>
      <c r="H175" s="289" t="str">
        <f t="shared" ref="H175" si="83">IF(H173=0,"-",H174/H173)</f>
        <v>-</v>
      </c>
      <c r="I175" s="289" t="str">
        <f t="shared" ref="I175" si="84">IF(I173=0,"-",I174/I173)</f>
        <v>-</v>
      </c>
      <c r="J175" s="289" t="str">
        <f t="shared" ref="J175" si="85">IF(J173=0,"-",J174/J173)</f>
        <v>-</v>
      </c>
      <c r="K175" s="289" t="str">
        <f t="shared" ref="K175" si="86">IF(K173=0,"-",K174/K173)</f>
        <v>-</v>
      </c>
      <c r="L175" s="289" t="str">
        <f t="shared" ref="L175" si="87">IF(L173=0,"-",L174/L173)</f>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D$27</f>
        <v>tonnes</v>
      </c>
      <c r="C178" s="777"/>
      <c r="D178" s="778"/>
      <c r="E178" s="141"/>
      <c r="F178" s="141"/>
      <c r="G178" s="141"/>
      <c r="H178" s="141"/>
      <c r="I178" s="141"/>
      <c r="J178" s="141"/>
      <c r="K178" s="141"/>
      <c r="L178" s="142"/>
      <c r="M178" s="10"/>
    </row>
    <row r="179" spans="2:19" hidden="1" x14ac:dyDescent="0.3">
      <c r="B179" s="776" t="str">
        <f>D$28</f>
        <v>net delivered purchase value (CAD)</v>
      </c>
      <c r="C179" s="777"/>
      <c r="D179" s="778"/>
      <c r="E179" s="141"/>
      <c r="F179" s="141"/>
      <c r="G179" s="141"/>
      <c r="H179" s="141"/>
      <c r="I179" s="141"/>
      <c r="J179" s="141"/>
      <c r="K179" s="141"/>
      <c r="L179" s="142"/>
      <c r="M179" s="10"/>
    </row>
    <row r="180" spans="2:19" hidden="1" x14ac:dyDescent="0.3">
      <c r="B180" s="776" t="str">
        <f>D$29</f>
        <v>$ / tonne</v>
      </c>
      <c r="C180" s="777"/>
      <c r="D180" s="778"/>
      <c r="E180" s="289" t="str">
        <f t="shared" ref="E180" si="88">IF(E178=0,"-",E179/E178)</f>
        <v>-</v>
      </c>
      <c r="F180" s="289" t="str">
        <f t="shared" ref="F180" si="89">IF(F178=0,"-",F179/F178)</f>
        <v>-</v>
      </c>
      <c r="G180" s="289" t="str">
        <f t="shared" ref="G180" si="90">IF(G178=0,"-",G179/G178)</f>
        <v>-</v>
      </c>
      <c r="H180" s="289" t="str">
        <f t="shared" ref="H180" si="91">IF(H178=0,"-",H179/H178)</f>
        <v>-</v>
      </c>
      <c r="I180" s="289" t="str">
        <f t="shared" ref="I180" si="92">IF(I178=0,"-",I179/I178)</f>
        <v>-</v>
      </c>
      <c r="J180" s="289" t="str">
        <f t="shared" ref="J180" si="93">IF(J178=0,"-",J179/J178)</f>
        <v>-</v>
      </c>
      <c r="K180" s="289" t="str">
        <f t="shared" ref="K180" si="94">IF(K178=0,"-",K179/K178)</f>
        <v>-</v>
      </c>
      <c r="L180" s="289" t="str">
        <f t="shared" ref="L180" si="95">IF(L178=0,"-",L179/L178)</f>
        <v>-</v>
      </c>
      <c r="M180" s="10"/>
    </row>
    <row r="181" spans="2:19" x14ac:dyDescent="0.3">
      <c r="B181" s="115"/>
      <c r="C181" s="116"/>
      <c r="D181" s="116"/>
      <c r="E181" s="29"/>
      <c r="F181" s="29"/>
      <c r="G181" s="29"/>
      <c r="H181" s="29"/>
      <c r="I181" s="29"/>
      <c r="J181" s="29"/>
      <c r="K181" s="29"/>
      <c r="L181" s="30"/>
      <c r="M181" s="10"/>
    </row>
    <row r="182" spans="2:19" x14ac:dyDescent="0.3">
      <c r="B182" s="503" t="str">
        <f>IF(Intro!$G$20="English",O182,P182)</f>
        <v>In the table below, “Error” means that the total imports of your firm's benchmark products exceed your firm's total imports for that period. Therefore, please modify the above data if necessary.</v>
      </c>
      <c r="C182" s="504"/>
      <c r="D182" s="504"/>
      <c r="E182" s="504"/>
      <c r="F182" s="504"/>
      <c r="G182" s="504"/>
      <c r="H182" s="504"/>
      <c r="I182" s="504"/>
      <c r="J182" s="504"/>
      <c r="K182" s="504"/>
      <c r="L182" s="505"/>
      <c r="M182" s="10"/>
      <c r="O182" s="10" t="s">
        <v>366</v>
      </c>
      <c r="P182" s="10" t="s">
        <v>367</v>
      </c>
      <c r="S182" s="38"/>
    </row>
    <row r="183" spans="2:19" x14ac:dyDescent="0.3">
      <c r="B183" s="503"/>
      <c r="C183" s="504"/>
      <c r="D183" s="504"/>
      <c r="E183" s="504"/>
      <c r="F183" s="504"/>
      <c r="G183" s="504"/>
      <c r="H183" s="504"/>
      <c r="I183" s="504"/>
      <c r="J183" s="504"/>
      <c r="K183" s="504"/>
      <c r="L183" s="505"/>
      <c r="M183" s="10"/>
      <c r="S183" s="38"/>
    </row>
    <row r="184" spans="2:19" x14ac:dyDescent="0.3">
      <c r="B184" s="61"/>
      <c r="C184" s="62"/>
      <c r="D184" s="62"/>
      <c r="E184" s="29"/>
      <c r="F184" s="29"/>
      <c r="G184" s="29"/>
      <c r="H184" s="29"/>
      <c r="I184" s="29"/>
      <c r="J184" s="29"/>
      <c r="K184" s="29"/>
      <c r="L184" s="30"/>
      <c r="M184" s="10"/>
      <c r="S184" s="38"/>
    </row>
    <row r="185" spans="2:19" ht="14.1" customHeight="1" x14ac:dyDescent="0.3">
      <c r="B185" s="763" t="str">
        <f>Variables!D62</f>
        <v>Verification - volume</v>
      </c>
      <c r="C185" s="764"/>
      <c r="D185" s="764"/>
      <c r="E185" s="764"/>
      <c r="F185" s="765"/>
      <c r="G185" s="221">
        <f>G125</f>
        <v>2024</v>
      </c>
      <c r="H185" s="221">
        <f>H125</f>
        <v>2025</v>
      </c>
      <c r="I185" s="221" t="str">
        <f>I125</f>
        <v>Q1 - 2026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Okay</v>
      </c>
      <c r="H186" s="232" t="str">
        <f>IF(SUM(H143:K143,H148:K148,H153:K153,H158:K158,H163:K163,H168:K168,H173:K173,H178:K178)&gt;SUM(I27,I43,I59),Variables!$D$63,Variables!$D$64)</f>
        <v>Okay</v>
      </c>
      <c r="I186" s="232" t="str">
        <f>IF(SUM(L143,L148,L153,L158,L163,L168,L173,L178)&gt;SUM(K27,K43,K59),Variables!$D$63,Variables!$D$64)</f>
        <v>Okay</v>
      </c>
      <c r="J186" s="291"/>
      <c r="K186" s="291"/>
      <c r="L186" s="292"/>
      <c r="M186" s="10"/>
    </row>
    <row r="187" spans="2:19" ht="14.1" customHeight="1" x14ac:dyDescent="0.3">
      <c r="B187" s="783" t="str">
        <f>IF(Intro!$G$20="English",O187,P187)</f>
        <v>volume - total imports of benchmark products (Question 3)</v>
      </c>
      <c r="C187" s="784"/>
      <c r="D187" s="784"/>
      <c r="E187" s="784"/>
      <c r="F187" s="785"/>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3" t="str">
        <f>IF(Intro!$G$20="English",O188,P188)</f>
        <v>volume - total imports (Question 1)</v>
      </c>
      <c r="C188" s="784"/>
      <c r="D188" s="784"/>
      <c r="E188" s="784"/>
      <c r="F188" s="785"/>
      <c r="G188" s="232">
        <f>H27</f>
        <v>0</v>
      </c>
      <c r="H188" s="232">
        <f>I27</f>
        <v>0</v>
      </c>
      <c r="I188" s="232">
        <f>K27</f>
        <v>0</v>
      </c>
      <c r="J188" s="291"/>
      <c r="K188" s="291"/>
      <c r="L188" s="292"/>
      <c r="M188" s="10"/>
      <c r="O188" s="10" t="s">
        <v>493</v>
      </c>
      <c r="P188" s="10" t="s">
        <v>494</v>
      </c>
    </row>
    <row r="189" spans="2:19" x14ac:dyDescent="0.3">
      <c r="B189" s="763" t="str">
        <f>Variables!D66</f>
        <v>Verification - value</v>
      </c>
      <c r="C189" s="764"/>
      <c r="D189" s="764"/>
      <c r="E189" s="764"/>
      <c r="F189" s="765"/>
      <c r="G189" s="221">
        <f>G185</f>
        <v>2024</v>
      </c>
      <c r="H189" s="221">
        <f>H185</f>
        <v>2025</v>
      </c>
      <c r="I189" s="221" t="str">
        <f>I185</f>
        <v>Q1 - 2026</v>
      </c>
      <c r="J189" s="291"/>
      <c r="K189" s="291"/>
      <c r="L189" s="292"/>
      <c r="M189" s="10"/>
    </row>
    <row r="190" spans="2:19" ht="14.1" customHeight="1" x14ac:dyDescent="0.3">
      <c r="B190" s="776" t="str">
        <f>B144</f>
        <v>net delivered purchase value (CAD)</v>
      </c>
      <c r="C190" s="777"/>
      <c r="D190" s="777"/>
      <c r="E190" s="777"/>
      <c r="F190" s="778"/>
      <c r="G190" s="232" t="str">
        <f>IF(SUM(E144:G144,E149:G149,E154:G154,E159:G159,E164:G164,E169:G169,E174:G174,E179:G179)&gt;SUM(H28,H44,H60),Variables!$D$63,Variables!$D$64)</f>
        <v>Okay</v>
      </c>
      <c r="H190" s="232" t="str">
        <f>IF(SUM(H144:K144,H149:K149,H154:K154,H159:K159,H164:K164,H169:K169,H174:K174,H179:K179)&gt;SUM(I28,I44,I60),Variables!$D$63,Variables!$D$64)</f>
        <v>Okay</v>
      </c>
      <c r="I190" s="232" t="str">
        <f>IF(SUM(L144,L149,L154,L159,L164,L169,L174,L179)&gt;SUM(K28,K44,K60),Variables!$D$63,Variables!$D$64)</f>
        <v>Okay</v>
      </c>
      <c r="J190" s="291"/>
      <c r="K190" s="291"/>
      <c r="L190" s="292"/>
      <c r="M190" s="10"/>
    </row>
    <row r="191" spans="2:19" ht="14.1" customHeight="1" x14ac:dyDescent="0.3">
      <c r="B191" s="783" t="str">
        <f>IF(Intro!$G$20="English",O191,P191)</f>
        <v>value - total imports of benchmark products (Question 3)</v>
      </c>
      <c r="C191" s="784"/>
      <c r="D191" s="784"/>
      <c r="E191" s="784"/>
      <c r="F191" s="785"/>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3" t="str">
        <f>IF(Intro!$G$20="English",O192,P192)</f>
        <v>value - total imports (Question 1)</v>
      </c>
      <c r="C192" s="784"/>
      <c r="D192" s="784"/>
      <c r="E192" s="784"/>
      <c r="F192" s="785"/>
      <c r="G192" s="232">
        <f>H28</f>
        <v>0</v>
      </c>
      <c r="H192" s="232">
        <f>I28</f>
        <v>0</v>
      </c>
      <c r="I192" s="232">
        <f>K28</f>
        <v>0</v>
      </c>
      <c r="J192" s="291"/>
      <c r="K192" s="291"/>
      <c r="L192" s="292"/>
      <c r="M192" s="10"/>
      <c r="O192" s="10" t="s">
        <v>571</v>
      </c>
      <c r="P192" s="10" t="s">
        <v>497</v>
      </c>
    </row>
    <row r="193" spans="1:16" x14ac:dyDescent="0.3">
      <c r="B193" s="72"/>
      <c r="C193" s="69"/>
      <c r="D193" s="69"/>
      <c r="E193" s="69"/>
      <c r="F193" s="69"/>
      <c r="G193" s="69"/>
      <c r="H193" s="69"/>
      <c r="I193" s="69"/>
      <c r="J193" s="69"/>
      <c r="K193" s="69"/>
      <c r="L193" s="70"/>
      <c r="M193" s="10"/>
    </row>
    <row r="194" spans="1:16" s="11" customFormat="1" x14ac:dyDescent="0.3">
      <c r="A194" s="7"/>
      <c r="B194" s="92"/>
      <c r="C194" s="92"/>
      <c r="D194" s="90"/>
      <c r="E194" s="91"/>
      <c r="F194" s="91"/>
      <c r="G194" s="91"/>
      <c r="H194" s="91"/>
      <c r="I194" s="91"/>
      <c r="J194" s="91"/>
      <c r="K194" s="91"/>
      <c r="L194" s="91"/>
      <c r="M194" s="73"/>
    </row>
    <row r="195" spans="1:16" x14ac:dyDescent="0.3">
      <c r="B195" s="506" t="str">
        <f>IF(Intro!$G$20="English",O195,P195)</f>
        <v>SALES IN CANADA OF IMPORTS OF BENCHMARK PRODUCTS</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 xml:space="preserve">Report the volume and value of sales of imports in Canada for each benchmark product listed below : </v>
      </c>
      <c r="C198" s="504"/>
      <c r="D198" s="504"/>
      <c r="E198" s="504"/>
      <c r="F198" s="504"/>
      <c r="G198" s="504"/>
      <c r="H198" s="504"/>
      <c r="I198" s="504"/>
      <c r="J198" s="504"/>
      <c r="K198" s="504"/>
      <c r="L198" s="505"/>
      <c r="M198" s="10"/>
      <c r="O198" s="18" t="s">
        <v>170</v>
      </c>
      <c r="P198" s="10" t="s">
        <v>435</v>
      </c>
    </row>
    <row r="199" spans="1:16" x14ac:dyDescent="0.3">
      <c r="B199" s="503" t="str">
        <f>Pro!B22</f>
        <v>Note - Only complete this question if your firm sold the goods between January 1, 2023, and March 31, 2026.</v>
      </c>
      <c r="C199" s="504"/>
      <c r="D199" s="504"/>
      <c r="E199" s="504"/>
      <c r="F199" s="504"/>
      <c r="G199" s="504"/>
      <c r="H199" s="504"/>
      <c r="I199" s="504"/>
      <c r="J199" s="504"/>
      <c r="K199" s="504"/>
      <c r="L199" s="505"/>
      <c r="M199" s="10"/>
      <c r="O199" s="18"/>
    </row>
    <row r="200" spans="1:16" x14ac:dyDescent="0.3">
      <c r="B200" s="61"/>
      <c r="C200" s="62"/>
      <c r="D200" s="35"/>
      <c r="E200" s="36"/>
      <c r="F200" s="36"/>
      <c r="G200" s="36"/>
      <c r="H200" s="36"/>
      <c r="I200" s="36"/>
      <c r="J200" s="36"/>
      <c r="K200" s="36"/>
      <c r="L200" s="17"/>
      <c r="M200" s="10"/>
      <c r="O200" s="18"/>
    </row>
    <row r="201" spans="1:16" x14ac:dyDescent="0.3">
      <c r="B201" s="779"/>
      <c r="C201" s="780"/>
      <c r="D201" s="781"/>
      <c r="E201" s="129" t="str">
        <f t="shared" ref="E201:L201" si="96">E140</f>
        <v>Q2 - 2024</v>
      </c>
      <c r="F201" s="129" t="str">
        <f t="shared" si="96"/>
        <v>Q3 - 2024</v>
      </c>
      <c r="G201" s="129" t="str">
        <f t="shared" si="96"/>
        <v>Q4 - 2024</v>
      </c>
      <c r="H201" s="129" t="str">
        <f t="shared" si="96"/>
        <v>Q1 - 2025</v>
      </c>
      <c r="I201" s="129" t="str">
        <f t="shared" si="96"/>
        <v>Q2 - 2025</v>
      </c>
      <c r="J201" s="129" t="str">
        <f t="shared" si="96"/>
        <v>Q3 - 2025</v>
      </c>
      <c r="K201" s="129" t="str">
        <f t="shared" si="96"/>
        <v>Q4 - 2025</v>
      </c>
      <c r="L201" s="140" t="str">
        <f t="shared" si="96"/>
        <v>Q1 - 2026</v>
      </c>
      <c r="M201" s="10"/>
      <c r="O201" s="18"/>
    </row>
    <row r="202" spans="1:16" x14ac:dyDescent="0.3">
      <c r="B202" s="772" t="str">
        <f>B141</f>
        <v>SAG Balls - 5.0" (125mm) within a 5% tolerance</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D$31</f>
        <v>tonnes</v>
      </c>
      <c r="C204" s="736"/>
      <c r="D204" s="736"/>
      <c r="E204" s="141"/>
      <c r="F204" s="141"/>
      <c r="G204" s="141"/>
      <c r="H204" s="141"/>
      <c r="I204" s="141"/>
      <c r="J204" s="141"/>
      <c r="K204" s="141"/>
      <c r="L204" s="142"/>
      <c r="M204" s="10"/>
    </row>
    <row r="205" spans="1:16" x14ac:dyDescent="0.3">
      <c r="B205" s="735" t="str">
        <f>D$32</f>
        <v>net delivered selling value (CAD)</v>
      </c>
      <c r="C205" s="736"/>
      <c r="D205" s="736"/>
      <c r="E205" s="141"/>
      <c r="F205" s="141"/>
      <c r="G205" s="141"/>
      <c r="H205" s="141"/>
      <c r="I205" s="141"/>
      <c r="J205" s="141"/>
      <c r="K205" s="141"/>
      <c r="L205" s="142"/>
      <c r="M205" s="10"/>
    </row>
    <row r="206" spans="1:16" x14ac:dyDescent="0.3">
      <c r="B206" s="735" t="str">
        <f>D$33</f>
        <v>$ / tonne</v>
      </c>
      <c r="C206" s="736"/>
      <c r="D206" s="736"/>
      <c r="E206" s="289" t="str">
        <f t="shared" ref="E206" si="97">IF(E204=0,"-",E205/E204)</f>
        <v>-</v>
      </c>
      <c r="F206" s="289" t="str">
        <f t="shared" ref="F206" si="98">IF(F204=0,"-",F205/F204)</f>
        <v>-</v>
      </c>
      <c r="G206" s="289" t="str">
        <f t="shared" ref="G206" si="99">IF(G204=0,"-",G205/G204)</f>
        <v>-</v>
      </c>
      <c r="H206" s="289" t="str">
        <f t="shared" ref="H206" si="100">IF(H204=0,"-",H205/H204)</f>
        <v>-</v>
      </c>
      <c r="I206" s="289" t="str">
        <f t="shared" ref="I206" si="101">IF(I204=0,"-",I205/I204)</f>
        <v>-</v>
      </c>
      <c r="J206" s="289" t="str">
        <f t="shared" ref="J206" si="102">IF(J204=0,"-",J205/J204)</f>
        <v>-</v>
      </c>
      <c r="K206" s="289" t="str">
        <f t="shared" ref="K206" si="103">IF(K204=0,"-",K205/K204)</f>
        <v>-</v>
      </c>
      <c r="L206" s="289" t="str">
        <f t="shared" ref="L206" si="104">IF(L204=0,"-",L205/L204)</f>
        <v>-</v>
      </c>
      <c r="M206" s="10"/>
    </row>
    <row r="207" spans="1:16" x14ac:dyDescent="0.3">
      <c r="B207" s="772" t="str">
        <f>B146</f>
        <v>SAG Balls - 5.25" (133mm) within a 5% tolerance</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D$31</f>
        <v>tonnes</v>
      </c>
      <c r="C209" s="736"/>
      <c r="D209" s="736"/>
      <c r="E209" s="141"/>
      <c r="F209" s="141"/>
      <c r="G209" s="141"/>
      <c r="H209" s="141"/>
      <c r="I209" s="141"/>
      <c r="J209" s="141"/>
      <c r="K209" s="141"/>
      <c r="L209" s="142"/>
      <c r="M209" s="10"/>
    </row>
    <row r="210" spans="2:13" x14ac:dyDescent="0.3">
      <c r="B210" s="735" t="str">
        <f>D$32</f>
        <v>net delivered selling value (CAD)</v>
      </c>
      <c r="C210" s="736"/>
      <c r="D210" s="736"/>
      <c r="E210" s="141"/>
      <c r="F210" s="141"/>
      <c r="G210" s="141"/>
      <c r="H210" s="141"/>
      <c r="I210" s="141"/>
      <c r="J210" s="141"/>
      <c r="K210" s="141"/>
      <c r="L210" s="142"/>
      <c r="M210" s="10"/>
    </row>
    <row r="211" spans="2:13" x14ac:dyDescent="0.3">
      <c r="B211" s="735" t="str">
        <f>D$33</f>
        <v>$ / tonne</v>
      </c>
      <c r="C211" s="736"/>
      <c r="D211" s="736"/>
      <c r="E211" s="289" t="str">
        <f t="shared" ref="E211" si="105">IF(E209=0,"-",E210/E209)</f>
        <v>-</v>
      </c>
      <c r="F211" s="289" t="str">
        <f t="shared" ref="F211" si="106">IF(F209=0,"-",F210/F209)</f>
        <v>-</v>
      </c>
      <c r="G211" s="289" t="str">
        <f t="shared" ref="G211" si="107">IF(G209=0,"-",G210/G209)</f>
        <v>-</v>
      </c>
      <c r="H211" s="289" t="str">
        <f t="shared" ref="H211" si="108">IF(H209=0,"-",H210/H209)</f>
        <v>-</v>
      </c>
      <c r="I211" s="289" t="str">
        <f t="shared" ref="I211" si="109">IF(I209=0,"-",I210/I209)</f>
        <v>-</v>
      </c>
      <c r="J211" s="289" t="str">
        <f t="shared" ref="J211" si="110">IF(J209=0,"-",J210/J209)</f>
        <v>-</v>
      </c>
      <c r="K211" s="289" t="str">
        <f t="shared" ref="K211" si="111">IF(K209=0,"-",K210/K209)</f>
        <v>-</v>
      </c>
      <c r="L211" s="289" t="str">
        <f t="shared" ref="L211" si="112">IF(L209=0,"-",L210/L209)</f>
        <v>-</v>
      </c>
      <c r="M211" s="10"/>
    </row>
    <row r="212" spans="2:13" x14ac:dyDescent="0.3">
      <c r="B212" s="772" t="str">
        <f>B151</f>
        <v>Mid-size Balls - 2.5" (65mm) within a 5% tolerance</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D$31</f>
        <v>tonnes</v>
      </c>
      <c r="C214" s="736"/>
      <c r="D214" s="736"/>
      <c r="E214" s="141"/>
      <c r="F214" s="141"/>
      <c r="G214" s="141"/>
      <c r="H214" s="141"/>
      <c r="I214" s="141"/>
      <c r="J214" s="141"/>
      <c r="K214" s="141"/>
      <c r="L214" s="142"/>
      <c r="M214" s="10"/>
    </row>
    <row r="215" spans="2:13" x14ac:dyDescent="0.3">
      <c r="B215" s="735" t="str">
        <f>D$32</f>
        <v>net delivered selling value (CAD)</v>
      </c>
      <c r="C215" s="736"/>
      <c r="D215" s="736"/>
      <c r="E215" s="141"/>
      <c r="F215" s="141"/>
      <c r="G215" s="141"/>
      <c r="H215" s="141"/>
      <c r="I215" s="141"/>
      <c r="J215" s="141"/>
      <c r="K215" s="141"/>
      <c r="L215" s="142"/>
      <c r="M215" s="10"/>
    </row>
    <row r="216" spans="2:13" x14ac:dyDescent="0.3">
      <c r="B216" s="735" t="str">
        <f>D$33</f>
        <v>$ / tonne</v>
      </c>
      <c r="C216" s="736"/>
      <c r="D216" s="736"/>
      <c r="E216" s="289" t="str">
        <f t="shared" ref="E216" si="113">IF(E214=0,"-",E215/E214)</f>
        <v>-</v>
      </c>
      <c r="F216" s="289" t="str">
        <f t="shared" ref="F216" si="114">IF(F214=0,"-",F215/F214)</f>
        <v>-</v>
      </c>
      <c r="G216" s="289" t="str">
        <f t="shared" ref="G216" si="115">IF(G214=0,"-",G215/G214)</f>
        <v>-</v>
      </c>
      <c r="H216" s="289" t="str">
        <f t="shared" ref="H216" si="116">IF(H214=0,"-",H215/H214)</f>
        <v>-</v>
      </c>
      <c r="I216" s="289" t="str">
        <f t="shared" ref="I216" si="117">IF(I214=0,"-",I215/I214)</f>
        <v>-</v>
      </c>
      <c r="J216" s="289" t="str">
        <f t="shared" ref="J216" si="118">IF(J214=0,"-",J215/J214)</f>
        <v>-</v>
      </c>
      <c r="K216" s="289" t="str">
        <f t="shared" ref="K216" si="119">IF(K214=0,"-",K215/K214)</f>
        <v>-</v>
      </c>
      <c r="L216" s="289" t="str">
        <f t="shared" ref="L216" si="120">IF(L214=0,"-",L215/L214)</f>
        <v>-</v>
      </c>
      <c r="M216" s="10"/>
    </row>
    <row r="217" spans="2:13" x14ac:dyDescent="0.3">
      <c r="B217" s="772" t="str">
        <f>B156</f>
        <v>Mid-size Balls - 3.5" (94mm) within a 5% tolerance</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D$31</f>
        <v>tonnes</v>
      </c>
      <c r="C219" s="736"/>
      <c r="D219" s="736"/>
      <c r="E219" s="141"/>
      <c r="F219" s="141"/>
      <c r="G219" s="141"/>
      <c r="H219" s="141"/>
      <c r="I219" s="141"/>
      <c r="J219" s="141"/>
      <c r="K219" s="141"/>
      <c r="L219" s="142"/>
      <c r="M219" s="10"/>
    </row>
    <row r="220" spans="2:13" x14ac:dyDescent="0.3">
      <c r="B220" s="735" t="str">
        <f>D$32</f>
        <v>net delivered selling value (CAD)</v>
      </c>
      <c r="C220" s="736"/>
      <c r="D220" s="736"/>
      <c r="E220" s="141"/>
      <c r="F220" s="141"/>
      <c r="G220" s="141"/>
      <c r="H220" s="141"/>
      <c r="I220" s="141"/>
      <c r="J220" s="141"/>
      <c r="K220" s="141"/>
      <c r="L220" s="142"/>
      <c r="M220" s="10"/>
    </row>
    <row r="221" spans="2:13" x14ac:dyDescent="0.3">
      <c r="B221" s="735" t="str">
        <f>D$33</f>
        <v>$ / tonne</v>
      </c>
      <c r="C221" s="736"/>
      <c r="D221" s="736"/>
      <c r="E221" s="289" t="str">
        <f t="shared" ref="E221" si="121">IF(E219=0,"-",E220/E219)</f>
        <v>-</v>
      </c>
      <c r="F221" s="289" t="str">
        <f t="shared" ref="F221" si="122">IF(F219=0,"-",F220/F219)</f>
        <v>-</v>
      </c>
      <c r="G221" s="289" t="str">
        <f t="shared" ref="G221" si="123">IF(G219=0,"-",G220/G219)</f>
        <v>-</v>
      </c>
      <c r="H221" s="289" t="str">
        <f t="shared" ref="H221" si="124">IF(H219=0,"-",H220/H219)</f>
        <v>-</v>
      </c>
      <c r="I221" s="289" t="str">
        <f t="shared" ref="I221" si="125">IF(I219=0,"-",I220/I219)</f>
        <v>-</v>
      </c>
      <c r="J221" s="289" t="str">
        <f t="shared" ref="J221" si="126">IF(J219=0,"-",J220/J219)</f>
        <v>-</v>
      </c>
      <c r="K221" s="289" t="str">
        <f t="shared" ref="K221" si="127">IF(K219=0,"-",K220/K219)</f>
        <v>-</v>
      </c>
      <c r="L221" s="289" t="str">
        <f t="shared" ref="L221" si="128">IF(L219=0,"-",L220/L219)</f>
        <v>-</v>
      </c>
      <c r="M221" s="10"/>
    </row>
    <row r="222" spans="2:13" x14ac:dyDescent="0.3">
      <c r="B222" s="772" t="str">
        <f>B161</f>
        <v>Regrind Balls - 1.0" (25mm) within a 5% tolerance</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D$31</f>
        <v>tonnes</v>
      </c>
      <c r="C224" s="736"/>
      <c r="D224" s="736"/>
      <c r="E224" s="141"/>
      <c r="F224" s="141"/>
      <c r="G224" s="141"/>
      <c r="H224" s="141"/>
      <c r="I224" s="141"/>
      <c r="J224" s="141"/>
      <c r="K224" s="141"/>
      <c r="L224" s="142"/>
      <c r="M224" s="10"/>
    </row>
    <row r="225" spans="2:13" x14ac:dyDescent="0.3">
      <c r="B225" s="735" t="str">
        <f>D$32</f>
        <v>net delivered selling value (CAD)</v>
      </c>
      <c r="C225" s="736"/>
      <c r="D225" s="736"/>
      <c r="E225" s="141"/>
      <c r="F225" s="141"/>
      <c r="G225" s="141"/>
      <c r="H225" s="141"/>
      <c r="I225" s="141"/>
      <c r="J225" s="141"/>
      <c r="K225" s="141"/>
      <c r="L225" s="142"/>
      <c r="M225" s="10"/>
    </row>
    <row r="226" spans="2:13" x14ac:dyDescent="0.3">
      <c r="B226" s="735" t="str">
        <f>D$33</f>
        <v>$ / tonne</v>
      </c>
      <c r="C226" s="736"/>
      <c r="D226" s="736"/>
      <c r="E226" s="289" t="str">
        <f t="shared" ref="E226" si="129">IF(E224=0,"-",E225/E224)</f>
        <v>-</v>
      </c>
      <c r="F226" s="289" t="str">
        <f t="shared" ref="F226" si="130">IF(F224=0,"-",F225/F224)</f>
        <v>-</v>
      </c>
      <c r="G226" s="289" t="str">
        <f t="shared" ref="G226" si="131">IF(G224=0,"-",G225/G224)</f>
        <v>-</v>
      </c>
      <c r="H226" s="289" t="str">
        <f t="shared" ref="H226" si="132">IF(H224=0,"-",H225/H224)</f>
        <v>-</v>
      </c>
      <c r="I226" s="289" t="str">
        <f t="shared" ref="I226" si="133">IF(I224=0,"-",I225/I224)</f>
        <v>-</v>
      </c>
      <c r="J226" s="289" t="str">
        <f t="shared" ref="J226" si="134">IF(J224=0,"-",J225/J224)</f>
        <v>-</v>
      </c>
      <c r="K226" s="289" t="str">
        <f t="shared" ref="K226" si="135">IF(K224=0,"-",K225/K224)</f>
        <v>-</v>
      </c>
      <c r="L226" s="289" t="str">
        <f t="shared" ref="L226" si="136">IF(L224=0,"-",L225/L224)</f>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D$31</f>
        <v>tonnes</v>
      </c>
      <c r="C229" s="736"/>
      <c r="D229" s="736"/>
      <c r="E229" s="141"/>
      <c r="F229" s="141"/>
      <c r="G229" s="141"/>
      <c r="H229" s="141"/>
      <c r="I229" s="141"/>
      <c r="J229" s="141"/>
      <c r="K229" s="141"/>
      <c r="L229" s="142"/>
      <c r="M229" s="10"/>
    </row>
    <row r="230" spans="2:13" hidden="1" x14ac:dyDescent="0.3">
      <c r="B230" s="735" t="str">
        <f>D$32</f>
        <v>net delivered selling value (CAD)</v>
      </c>
      <c r="C230" s="736"/>
      <c r="D230" s="736"/>
      <c r="E230" s="141"/>
      <c r="F230" s="141"/>
      <c r="G230" s="141"/>
      <c r="H230" s="141"/>
      <c r="I230" s="141"/>
      <c r="J230" s="141"/>
      <c r="K230" s="141"/>
      <c r="L230" s="142"/>
      <c r="M230" s="10"/>
    </row>
    <row r="231" spans="2:13" hidden="1" x14ac:dyDescent="0.3">
      <c r="B231" s="735" t="str">
        <f>D$33</f>
        <v>$ / tonne</v>
      </c>
      <c r="C231" s="736"/>
      <c r="D231" s="736"/>
      <c r="E231" s="289" t="str">
        <f t="shared" ref="E231" si="137">IF(E229=0,"-",E230/E229)</f>
        <v>-</v>
      </c>
      <c r="F231" s="289" t="str">
        <f t="shared" ref="F231" si="138">IF(F229=0,"-",F230/F229)</f>
        <v>-</v>
      </c>
      <c r="G231" s="289" t="str">
        <f t="shared" ref="G231" si="139">IF(G229=0,"-",G230/G229)</f>
        <v>-</v>
      </c>
      <c r="H231" s="289" t="str">
        <f t="shared" ref="H231" si="140">IF(H229=0,"-",H230/H229)</f>
        <v>-</v>
      </c>
      <c r="I231" s="289" t="str">
        <f t="shared" ref="I231" si="141">IF(I229=0,"-",I230/I229)</f>
        <v>-</v>
      </c>
      <c r="J231" s="289" t="str">
        <f t="shared" ref="J231" si="142">IF(J229=0,"-",J230/J229)</f>
        <v>-</v>
      </c>
      <c r="K231" s="289" t="str">
        <f t="shared" ref="K231" si="143">IF(K229=0,"-",K230/K229)</f>
        <v>-</v>
      </c>
      <c r="L231" s="289" t="str">
        <f t="shared" ref="L231" si="144">IF(L229=0,"-",L230/L229)</f>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D$31</f>
        <v>tonnes</v>
      </c>
      <c r="C234" s="736"/>
      <c r="D234" s="736"/>
      <c r="E234" s="141"/>
      <c r="F234" s="141"/>
      <c r="G234" s="141"/>
      <c r="H234" s="141"/>
      <c r="I234" s="141"/>
      <c r="J234" s="141"/>
      <c r="K234" s="141"/>
      <c r="L234" s="142"/>
      <c r="M234" s="10"/>
    </row>
    <row r="235" spans="2:13" hidden="1" x14ac:dyDescent="0.3">
      <c r="B235" s="735" t="str">
        <f>D$32</f>
        <v>net delivered selling value (CAD)</v>
      </c>
      <c r="C235" s="736"/>
      <c r="D235" s="736"/>
      <c r="E235" s="141"/>
      <c r="F235" s="141"/>
      <c r="G235" s="141"/>
      <c r="H235" s="141"/>
      <c r="I235" s="141"/>
      <c r="J235" s="141"/>
      <c r="K235" s="141"/>
      <c r="L235" s="142"/>
      <c r="M235" s="10"/>
    </row>
    <row r="236" spans="2:13" hidden="1" x14ac:dyDescent="0.3">
      <c r="B236" s="735" t="str">
        <f>D$33</f>
        <v>$ / tonne</v>
      </c>
      <c r="C236" s="736"/>
      <c r="D236" s="736"/>
      <c r="E236" s="289" t="str">
        <f t="shared" ref="E236" si="145">IF(E234=0,"-",E235/E234)</f>
        <v>-</v>
      </c>
      <c r="F236" s="289" t="str">
        <f t="shared" ref="F236" si="146">IF(F234=0,"-",F235/F234)</f>
        <v>-</v>
      </c>
      <c r="G236" s="289" t="str">
        <f t="shared" ref="G236" si="147">IF(G234=0,"-",G235/G234)</f>
        <v>-</v>
      </c>
      <c r="H236" s="289" t="str">
        <f t="shared" ref="H236" si="148">IF(H234=0,"-",H235/H234)</f>
        <v>-</v>
      </c>
      <c r="I236" s="289" t="str">
        <f t="shared" ref="I236" si="149">IF(I234=0,"-",I235/I234)</f>
        <v>-</v>
      </c>
      <c r="J236" s="289" t="str">
        <f t="shared" ref="J236" si="150">IF(J234=0,"-",J235/J234)</f>
        <v>-</v>
      </c>
      <c r="K236" s="289" t="str">
        <f t="shared" ref="K236" si="151">IF(K234=0,"-",K235/K234)</f>
        <v>-</v>
      </c>
      <c r="L236" s="289" t="str">
        <f t="shared" ref="L236" si="152">IF(L234=0,"-",L235/L234)</f>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D$31</f>
        <v>tonnes</v>
      </c>
      <c r="C239" s="736"/>
      <c r="D239" s="736"/>
      <c r="E239" s="141"/>
      <c r="F239" s="141"/>
      <c r="G239" s="141"/>
      <c r="H239" s="141"/>
      <c r="I239" s="141"/>
      <c r="J239" s="141"/>
      <c r="K239" s="141"/>
      <c r="L239" s="142"/>
      <c r="M239" s="10"/>
    </row>
    <row r="240" spans="2:13" hidden="1" x14ac:dyDescent="0.3">
      <c r="B240" s="735" t="str">
        <f>D$32</f>
        <v>net delivered selling value (CAD)</v>
      </c>
      <c r="C240" s="736"/>
      <c r="D240" s="736"/>
      <c r="E240" s="141"/>
      <c r="F240" s="141"/>
      <c r="G240" s="141"/>
      <c r="H240" s="141"/>
      <c r="I240" s="141"/>
      <c r="J240" s="141"/>
      <c r="K240" s="141"/>
      <c r="L240" s="142"/>
      <c r="M240" s="10"/>
    </row>
    <row r="241" spans="1:19" hidden="1" x14ac:dyDescent="0.3">
      <c r="B241" s="735" t="str">
        <f>D$33</f>
        <v>$ / tonne</v>
      </c>
      <c r="C241" s="736"/>
      <c r="D241" s="736"/>
      <c r="E241" s="289" t="str">
        <f t="shared" ref="E241" si="153">IF(E239=0,"-",E240/E239)</f>
        <v>-</v>
      </c>
      <c r="F241" s="289" t="str">
        <f t="shared" ref="F241" si="154">IF(F239=0,"-",F240/F239)</f>
        <v>-</v>
      </c>
      <c r="G241" s="289" t="str">
        <f t="shared" ref="G241" si="155">IF(G239=0,"-",G240/G239)</f>
        <v>-</v>
      </c>
      <c r="H241" s="289" t="str">
        <f t="shared" ref="H241" si="156">IF(H239=0,"-",H240/H239)</f>
        <v>-</v>
      </c>
      <c r="I241" s="289" t="str">
        <f t="shared" ref="I241" si="157">IF(I239=0,"-",I240/I239)</f>
        <v>-</v>
      </c>
      <c r="J241" s="289" t="str">
        <f t="shared" ref="J241" si="158">IF(J239=0,"-",J240/J239)</f>
        <v>-</v>
      </c>
      <c r="K241" s="289" t="str">
        <f t="shared" ref="K241" si="159">IF(K239=0,"-",K240/K239)</f>
        <v>-</v>
      </c>
      <c r="L241" s="289" t="str">
        <f t="shared" ref="L241" si="160">IF(L239=0,"-",L240/L239)</f>
        <v>-</v>
      </c>
      <c r="M241" s="10"/>
    </row>
    <row r="242" spans="1:19" x14ac:dyDescent="0.3">
      <c r="B242" s="115"/>
      <c r="C242" s="116"/>
      <c r="D242" s="116"/>
      <c r="E242" s="29"/>
      <c r="F242" s="29"/>
      <c r="G242" s="29"/>
      <c r="H242" s="29"/>
      <c r="I242" s="29"/>
      <c r="J242" s="29"/>
      <c r="K242" s="29"/>
      <c r="L242" s="30"/>
      <c r="M242" s="10"/>
    </row>
    <row r="243" spans="1:19" x14ac:dyDescent="0.3">
      <c r="B243" s="500" t="str">
        <f>IF(Intro!$G$20="English",O243,P243)</f>
        <v>In the table below, “Error” means that the total sales of your firm's benchmark products exceed your firm's total import sales for that period. Therefore, please modify the above data if necessary.</v>
      </c>
      <c r="C243" s="501"/>
      <c r="D243" s="501"/>
      <c r="E243" s="501"/>
      <c r="F243" s="501"/>
      <c r="G243" s="501"/>
      <c r="H243" s="501"/>
      <c r="I243" s="501"/>
      <c r="J243" s="501"/>
      <c r="K243" s="501"/>
      <c r="L243" s="502"/>
      <c r="M243" s="10"/>
      <c r="O243" s="10" t="s">
        <v>368</v>
      </c>
      <c r="P243" s="10" t="s">
        <v>437</v>
      </c>
      <c r="S243" s="38"/>
    </row>
    <row r="244" spans="1:19" x14ac:dyDescent="0.3">
      <c r="B244" s="500"/>
      <c r="C244" s="501"/>
      <c r="D244" s="501"/>
      <c r="E244" s="501"/>
      <c r="F244" s="501"/>
      <c r="G244" s="501"/>
      <c r="H244" s="501"/>
      <c r="I244" s="501"/>
      <c r="J244" s="501"/>
      <c r="K244" s="501"/>
      <c r="L244" s="502"/>
      <c r="M244" s="10"/>
      <c r="S244" s="38"/>
    </row>
    <row r="245" spans="1:19" x14ac:dyDescent="0.3">
      <c r="B245" s="61"/>
      <c r="C245" s="62"/>
      <c r="D245" s="62"/>
      <c r="E245" s="29"/>
      <c r="F245" s="29"/>
      <c r="G245" s="29"/>
      <c r="H245" s="29"/>
      <c r="I245" s="29"/>
      <c r="J245" s="29"/>
      <c r="K245" s="29"/>
      <c r="L245" s="30"/>
      <c r="M245" s="10"/>
      <c r="S245" s="38"/>
    </row>
    <row r="246" spans="1:19" ht="14.1" customHeight="1" x14ac:dyDescent="0.3">
      <c r="B246" s="763" t="str">
        <f>Variables!D62</f>
        <v>Verification - volume</v>
      </c>
      <c r="C246" s="764"/>
      <c r="D246" s="764"/>
      <c r="E246" s="764"/>
      <c r="F246" s="765"/>
      <c r="G246" s="221">
        <f>G185</f>
        <v>2024</v>
      </c>
      <c r="H246" s="221">
        <f>H185</f>
        <v>2025</v>
      </c>
      <c r="I246" s="221" t="str">
        <f>I185</f>
        <v>Q1 - 2026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Okay</v>
      </c>
      <c r="H247" s="232" t="str">
        <f>IF(SUM(H204:K204,H209:K209,H214:K214,H219:K219,H224:K224,H229:K229,H234:K234,H239:K239)&gt;SUM(I37,I53,I69),Variables!$D$63,Variables!$D$64)</f>
        <v>Okay</v>
      </c>
      <c r="I247" s="232" t="str">
        <f>IF(SUM(L204,L209,L214,L219,L224,L229,L234,L239)&gt;SUM(K37,K53,K69),Variables!$D$63,Variables!$D$64)</f>
        <v>Okay</v>
      </c>
      <c r="J247" s="291"/>
      <c r="K247" s="291"/>
      <c r="L247" s="292"/>
      <c r="M247" s="10"/>
    </row>
    <row r="248" spans="1:19" ht="14.1" customHeight="1" x14ac:dyDescent="0.3">
      <c r="B248" s="783" t="str">
        <f>IF(Intro!$G$20="English",O248,P248)</f>
        <v>volume - total sales in Canada of imports of benchmark products (Question 4)</v>
      </c>
      <c r="C248" s="784"/>
      <c r="D248" s="784"/>
      <c r="E248" s="784"/>
      <c r="F248" s="785"/>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3" t="str">
        <f>IF(Intro!$G$20="English",O249,P249)</f>
        <v>volume - total sales in Canada of imports (Question 1)</v>
      </c>
      <c r="C249" s="784"/>
      <c r="D249" s="784"/>
      <c r="E249" s="784"/>
      <c r="F249" s="785"/>
      <c r="G249" s="232">
        <f>H37</f>
        <v>0</v>
      </c>
      <c r="H249" s="232">
        <f>I37</f>
        <v>0</v>
      </c>
      <c r="I249" s="232">
        <f>K37</f>
        <v>0</v>
      </c>
      <c r="J249" s="291"/>
      <c r="K249" s="291"/>
      <c r="L249" s="292"/>
      <c r="M249" s="10"/>
      <c r="O249" s="10" t="s">
        <v>499</v>
      </c>
      <c r="P249" s="10" t="s">
        <v>501</v>
      </c>
    </row>
    <row r="250" spans="1:19" x14ac:dyDescent="0.3">
      <c r="B250" s="763" t="str">
        <f>Variables!D66</f>
        <v>Verification - value</v>
      </c>
      <c r="C250" s="764"/>
      <c r="D250" s="764"/>
      <c r="E250" s="764"/>
      <c r="F250" s="765"/>
      <c r="G250" s="221">
        <f>G246</f>
        <v>2024</v>
      </c>
      <c r="H250" s="221">
        <f t="shared" ref="H250:I250" si="161">H246</f>
        <v>2025</v>
      </c>
      <c r="I250" s="221" t="str">
        <f t="shared" si="161"/>
        <v>Q1 - 2026</v>
      </c>
      <c r="J250" s="291"/>
      <c r="K250" s="291"/>
      <c r="L250" s="292"/>
      <c r="M250" s="10"/>
    </row>
    <row r="251" spans="1:19" ht="14.1" customHeight="1" x14ac:dyDescent="0.3">
      <c r="B251" s="760" t="str">
        <f>B205</f>
        <v>net delivered selling value (CAD)</v>
      </c>
      <c r="C251" s="761"/>
      <c r="D251" s="761"/>
      <c r="E251" s="761"/>
      <c r="F251" s="762"/>
      <c r="G251" s="232" t="str">
        <f>IF(SUM(E205:G205,E210:G210,E215:G215,E220:G220,E225:G225,E230:G230,E235:G235,E240:G240)&gt;SUM(H38,H54,H70),Variables!$D$63,Variables!$D$64)</f>
        <v>Okay</v>
      </c>
      <c r="H251" s="232" t="str">
        <f>IF(SUM(H205:K205,H210:K210,H215:K215,H220:K220,H225:K225,H230:K230,H235:K235,H240:K240)&gt;SUM(I38,I54,I70),Variables!$D$63,Variables!$D$64)</f>
        <v>Okay</v>
      </c>
      <c r="I251" s="232" t="str">
        <f>IF(SUM(L205,L210,L215,L220,L225,L230,L235,L240)&gt;SUM(K38,K54,K70),Variables!$D$63,Variables!$D$64)</f>
        <v>Okay</v>
      </c>
      <c r="J251" s="291"/>
      <c r="K251" s="291"/>
      <c r="L251" s="292"/>
      <c r="M251" s="10"/>
    </row>
    <row r="252" spans="1:19" ht="14.1" customHeight="1" x14ac:dyDescent="0.3">
      <c r="B252" s="783" t="str">
        <f>IF(Intro!$G$20="English",O252,P252)</f>
        <v>value - total sales in Canada of imports of benchmark products (Question 4)</v>
      </c>
      <c r="C252" s="784"/>
      <c r="D252" s="784"/>
      <c r="E252" s="784"/>
      <c r="F252" s="785"/>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3" t="str">
        <f>IF(Intro!$G$20="English",O253,P253)</f>
        <v>value - total sales in Canada of imports (Question 1)</v>
      </c>
      <c r="C253" s="784"/>
      <c r="D253" s="784"/>
      <c r="E253" s="784"/>
      <c r="F253" s="785"/>
      <c r="G253" s="232">
        <f>H38</f>
        <v>0</v>
      </c>
      <c r="H253" s="232">
        <f>I38</f>
        <v>0</v>
      </c>
      <c r="I253" s="232">
        <f>K38</f>
        <v>0</v>
      </c>
      <c r="J253" s="291"/>
      <c r="K253" s="291"/>
      <c r="L253" s="292"/>
      <c r="M253" s="10"/>
      <c r="O253" s="10" t="s">
        <v>505</v>
      </c>
      <c r="P253" s="10" t="s">
        <v>503</v>
      </c>
    </row>
    <row r="254" spans="1:19" x14ac:dyDescent="0.3">
      <c r="B254" s="72"/>
      <c r="C254" s="69"/>
      <c r="D254" s="69"/>
      <c r="E254" s="69"/>
      <c r="F254" s="69"/>
      <c r="G254" s="69"/>
      <c r="H254" s="69"/>
      <c r="I254" s="69"/>
      <c r="J254" s="69"/>
      <c r="K254" s="69"/>
      <c r="L254" s="70"/>
      <c r="M254" s="10"/>
    </row>
    <row r="255" spans="1:19" s="44" customFormat="1" x14ac:dyDescent="0.3">
      <c r="A255" s="93"/>
      <c r="B255" s="4"/>
      <c r="C255" s="4"/>
      <c r="D255" s="77"/>
      <c r="E255" s="77"/>
      <c r="F255" s="77"/>
      <c r="G255" s="77"/>
      <c r="H255" s="77"/>
      <c r="I255" s="77"/>
      <c r="J255" s="77"/>
      <c r="K255" s="77"/>
      <c r="L255" s="77"/>
      <c r="N255" s="78"/>
    </row>
    <row r="256" spans="1:19" x14ac:dyDescent="0.3">
      <c r="B256" s="506" t="str">
        <f>IF(Intro!$G$20="English",O256,P256)</f>
        <v>IMPORT DATA FOR CBSA PERIOD OF DUMPING INVESTIGATION</v>
      </c>
      <c r="C256" s="507"/>
      <c r="D256" s="507"/>
      <c r="E256" s="507"/>
      <c r="F256" s="507"/>
      <c r="G256" s="507"/>
      <c r="H256" s="507"/>
      <c r="I256" s="507"/>
      <c r="J256" s="507"/>
      <c r="K256" s="507"/>
      <c r="L256" s="508"/>
      <c r="M256" s="10"/>
      <c r="O256" s="107" t="s">
        <v>336</v>
      </c>
      <c r="P256" s="107" t="s">
        <v>337</v>
      </c>
    </row>
    <row r="257" spans="1:16" s="11"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 xml:space="preserve">Report the volume and value of imports during CBSA's period of dumping investigation : </v>
      </c>
      <c r="C259" s="504"/>
      <c r="D259" s="504"/>
      <c r="E259" s="504"/>
      <c r="F259" s="504"/>
      <c r="G259" s="504"/>
      <c r="H259" s="504"/>
      <c r="I259" s="504"/>
      <c r="J259" s="504"/>
      <c r="K259" s="504"/>
      <c r="L259" s="505"/>
      <c r="M259" s="10"/>
      <c r="O259" s="18" t="s">
        <v>198</v>
      </c>
      <c r="P259" s="10" t="s">
        <v>199</v>
      </c>
    </row>
    <row r="260" spans="1:16" x14ac:dyDescent="0.3">
      <c r="B260" s="61"/>
      <c r="C260" s="62"/>
      <c r="D260" s="35"/>
      <c r="E260" s="36"/>
      <c r="F260" s="36"/>
      <c r="G260" s="36"/>
      <c r="H260" s="36"/>
      <c r="I260" s="36"/>
      <c r="J260" s="36"/>
      <c r="K260" s="36"/>
      <c r="L260" s="17"/>
      <c r="M260" s="10"/>
      <c r="O260" s="18"/>
    </row>
    <row r="261" spans="1:16" ht="14.4" customHeight="1" x14ac:dyDescent="0.3">
      <c r="B261" s="48"/>
      <c r="C261" s="45"/>
      <c r="D261" s="35"/>
      <c r="E261" s="10"/>
      <c r="F261" s="796" t="str">
        <f>IF(Intro!$G$20="English",Variables!B39,Variables!C39)</f>
        <v>October 1, 2024 - September 30, 2025</v>
      </c>
      <c r="G261" s="796"/>
      <c r="H261" s="796"/>
      <c r="I261" s="291"/>
      <c r="J261" s="291"/>
      <c r="K261" s="291"/>
      <c r="L261" s="292"/>
      <c r="M261" s="10"/>
      <c r="O261" s="47"/>
      <c r="P261" s="47"/>
    </row>
    <row r="262" spans="1:16" x14ac:dyDescent="0.3">
      <c r="B262" s="540" t="str">
        <f>IF(Intro!$G$20="English",O262,P262)</f>
        <v>Imports</v>
      </c>
      <c r="C262" s="736" t="str">
        <f>D27</f>
        <v>tonnes</v>
      </c>
      <c r="D262" s="736"/>
      <c r="E262" s="782"/>
      <c r="F262" s="795"/>
      <c r="G262" s="795"/>
      <c r="H262" s="795"/>
      <c r="I262" s="291"/>
      <c r="J262" s="291"/>
      <c r="K262" s="291"/>
      <c r="L262" s="292"/>
      <c r="M262" s="10"/>
      <c r="O262" s="10" t="s">
        <v>91</v>
      </c>
      <c r="P262" s="10" t="s">
        <v>169</v>
      </c>
    </row>
    <row r="263" spans="1:16" x14ac:dyDescent="0.3">
      <c r="B263" s="540"/>
      <c r="C263" s="736" t="str">
        <f>D28</f>
        <v>net delivered purchase value (CAD)</v>
      </c>
      <c r="D263" s="736"/>
      <c r="E263" s="782"/>
      <c r="F263" s="795"/>
      <c r="G263" s="795"/>
      <c r="H263" s="795"/>
      <c r="I263" s="291"/>
      <c r="J263" s="291"/>
      <c r="K263" s="291"/>
      <c r="L263" s="292"/>
      <c r="M263" s="10"/>
    </row>
    <row r="264" spans="1:16" x14ac:dyDescent="0.3">
      <c r="B264" s="540"/>
      <c r="C264" s="736" t="str">
        <f>D29</f>
        <v>$ / tonne</v>
      </c>
      <c r="D264" s="736"/>
      <c r="E264" s="782"/>
      <c r="F264" s="794" t="str">
        <f>IF(F262=0,"-",F263/F262)</f>
        <v>-</v>
      </c>
      <c r="G264" s="794"/>
      <c r="H264" s="794"/>
      <c r="I264" s="291"/>
      <c r="J264" s="291"/>
      <c r="K264" s="291"/>
      <c r="L264" s="292"/>
      <c r="M264" s="10"/>
    </row>
    <row r="265" spans="1:16" x14ac:dyDescent="0.3">
      <c r="B265" s="46"/>
      <c r="C265" s="64"/>
      <c r="D265" s="64"/>
      <c r="E265" s="34"/>
      <c r="F265" s="34"/>
      <c r="G265" s="34"/>
      <c r="H265" s="34"/>
      <c r="I265" s="34"/>
      <c r="J265" s="34"/>
      <c r="K265" s="34"/>
      <c r="L265" s="37"/>
      <c r="M265" s="10"/>
    </row>
    <row r="266" spans="1:16" s="44" customFormat="1" x14ac:dyDescent="0.3">
      <c r="A266" s="93"/>
      <c r="B266" s="4"/>
      <c r="C266" s="4"/>
      <c r="D266" s="77"/>
      <c r="E266" s="77"/>
      <c r="F266" s="77"/>
      <c r="G266" s="77"/>
      <c r="H266" s="77"/>
      <c r="I266" s="77"/>
      <c r="J266" s="77"/>
      <c r="K266" s="77"/>
      <c r="L266" s="77"/>
      <c r="N266" s="78"/>
    </row>
    <row r="267" spans="1:16" x14ac:dyDescent="0.3">
      <c r="B267" s="506" t="str">
        <f>UPPER(IF(Intro!$G$20="English",O267,P267))</f>
        <v>IMPORT DATA FOR MASSIVE IMPORTATION ANALYSIS</v>
      </c>
      <c r="C267" s="507"/>
      <c r="D267" s="507"/>
      <c r="E267" s="507"/>
      <c r="F267" s="507"/>
      <c r="G267" s="507"/>
      <c r="H267" s="507"/>
      <c r="I267" s="507"/>
      <c r="J267" s="507"/>
      <c r="K267" s="507"/>
      <c r="L267" s="508"/>
      <c r="M267" s="10"/>
      <c r="O267" s="107" t="s">
        <v>338</v>
      </c>
      <c r="P267" s="107" t="s">
        <v>438</v>
      </c>
    </row>
    <row r="268" spans="1:16" s="11" customFormat="1" x14ac:dyDescent="0.3">
      <c r="A268" s="7"/>
      <c r="B268" s="647" t="s">
        <v>19</v>
      </c>
      <c r="C268" s="648"/>
      <c r="D268" s="648"/>
      <c r="E268" s="648"/>
      <c r="F268" s="648"/>
      <c r="G268" s="648"/>
      <c r="H268" s="648"/>
      <c r="I268" s="648"/>
      <c r="J268" s="648"/>
      <c r="K268" s="648"/>
      <c r="L268" s="649"/>
      <c r="M268" s="73"/>
      <c r="O268" s="10"/>
    </row>
    <row r="269" spans="1:16" x14ac:dyDescent="0.3">
      <c r="B269" s="16"/>
      <c r="C269" s="35"/>
      <c r="D269" s="35"/>
      <c r="E269" s="36"/>
      <c r="F269" s="36"/>
      <c r="G269" s="36"/>
      <c r="H269" s="36"/>
      <c r="I269" s="36"/>
      <c r="J269" s="36"/>
      <c r="K269" s="36"/>
      <c r="L269" s="17"/>
      <c r="M269" s="10"/>
    </row>
    <row r="270" spans="1:16" x14ac:dyDescent="0.3">
      <c r="B270" s="503" t="str">
        <f>IF(Intro!$G$20="English",O270,P270)</f>
        <v xml:space="preserve">Report the volume of imports and the ending inventory in Canada of the goods originating from the exporter outlined above : </v>
      </c>
      <c r="C270" s="504"/>
      <c r="D270" s="504"/>
      <c r="E270" s="504"/>
      <c r="F270" s="504"/>
      <c r="G270" s="504"/>
      <c r="H270" s="504"/>
      <c r="I270" s="504"/>
      <c r="J270" s="504"/>
      <c r="K270" s="504"/>
      <c r="L270" s="505"/>
      <c r="M270" s="10"/>
      <c r="O270" s="18" t="s">
        <v>193</v>
      </c>
      <c r="P270" s="10" t="s">
        <v>440</v>
      </c>
    </row>
    <row r="271" spans="1:16" x14ac:dyDescent="0.3">
      <c r="B271" s="61"/>
      <c r="C271" s="62"/>
      <c r="D271" s="35"/>
      <c r="E271" s="36"/>
      <c r="F271" s="36"/>
      <c r="G271" s="36"/>
      <c r="H271" s="36"/>
      <c r="I271" s="36"/>
      <c r="J271" s="36"/>
      <c r="K271" s="36"/>
      <c r="L271" s="17"/>
      <c r="M271" s="10"/>
      <c r="O271" s="18"/>
    </row>
    <row r="272" spans="1:16" x14ac:dyDescent="0.3">
      <c r="B272" s="61"/>
      <c r="C272" s="62"/>
      <c r="D272" s="35"/>
      <c r="E272" s="223" t="str">
        <f>H201</f>
        <v>Q1 - 2025</v>
      </c>
      <c r="F272" s="279" t="str">
        <f>I201</f>
        <v>Q2 - 2025</v>
      </c>
      <c r="G272" s="279" t="str">
        <f>J201</f>
        <v>Q3 - 2025</v>
      </c>
      <c r="H272" s="279" t="str">
        <f>K201</f>
        <v>Q4 - 2025</v>
      </c>
      <c r="I272" s="490" t="str">
        <f>L201</f>
        <v>Q1 - 2026</v>
      </c>
      <c r="J272" s="36"/>
      <c r="K272" s="36"/>
      <c r="L272" s="17"/>
      <c r="M272" s="10"/>
      <c r="O272" s="18"/>
    </row>
    <row r="273" spans="1:19" x14ac:dyDescent="0.3">
      <c r="B273" s="750" t="str">
        <f>B262</f>
        <v>Imports</v>
      </c>
      <c r="C273" s="751"/>
      <c r="D273" s="128" t="str">
        <f>C262</f>
        <v>tonnes</v>
      </c>
      <c r="E273" s="227"/>
      <c r="F273" s="227"/>
      <c r="G273" s="227"/>
      <c r="H273" s="227"/>
      <c r="I273" s="227"/>
      <c r="J273" s="36"/>
      <c r="K273" s="36"/>
      <c r="L273" s="17"/>
      <c r="M273" s="10"/>
    </row>
    <row r="274" spans="1:19" x14ac:dyDescent="0.3">
      <c r="B274" s="750" t="str">
        <f>IF(Intro!$G$20="English",O274,P274)</f>
        <v>Ending Inventories</v>
      </c>
      <c r="C274" s="751"/>
      <c r="D274" s="128" t="str">
        <f>C262</f>
        <v>tonnes</v>
      </c>
      <c r="E274" s="227"/>
      <c r="F274" s="227"/>
      <c r="G274" s="227"/>
      <c r="H274" s="227"/>
      <c r="I274" s="227"/>
      <c r="J274" s="36"/>
      <c r="K274" s="36"/>
      <c r="L274" s="17"/>
      <c r="M274" s="10"/>
      <c r="O274" s="10" t="s">
        <v>194</v>
      </c>
      <c r="P274" s="10" t="s">
        <v>439</v>
      </c>
    </row>
    <row r="275" spans="1:19" x14ac:dyDescent="0.3">
      <c r="B275" s="273"/>
      <c r="C275" s="274"/>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Imports</v>
      </c>
      <c r="C277" s="751"/>
      <c r="D277" s="281" t="str">
        <f>D273</f>
        <v>tonnes</v>
      </c>
      <c r="E277" s="227"/>
      <c r="F277" s="36"/>
      <c r="G277" s="227"/>
      <c r="H277" s="36"/>
      <c r="I277" s="227"/>
      <c r="K277" s="36"/>
      <c r="L277" s="17"/>
      <c r="M277" s="10"/>
    </row>
    <row r="278" spans="1:19" x14ac:dyDescent="0.3">
      <c r="B278" s="750" t="str">
        <f>IF(Intro!$G$20="English",O278,P278)</f>
        <v>Ending Inventories</v>
      </c>
      <c r="C278" s="751"/>
      <c r="D278" s="281" t="str">
        <f>D274</f>
        <v>tonnes</v>
      </c>
      <c r="E278" s="227"/>
      <c r="F278" s="36"/>
      <c r="G278" s="227"/>
      <c r="H278" s="36"/>
      <c r="I278" s="227"/>
      <c r="K278" s="36"/>
      <c r="L278" s="17"/>
      <c r="M278" s="10"/>
      <c r="O278" s="10" t="s">
        <v>194</v>
      </c>
      <c r="P278" s="10" t="s">
        <v>439</v>
      </c>
    </row>
    <row r="279" spans="1:19" x14ac:dyDescent="0.3">
      <c r="B279" s="218"/>
      <c r="C279" s="219"/>
      <c r="D279" s="219"/>
      <c r="E279" s="29"/>
      <c r="F279" s="29"/>
      <c r="G279" s="29"/>
      <c r="H279" s="29"/>
      <c r="I279" s="36"/>
      <c r="J279" s="29"/>
      <c r="K279" s="29"/>
      <c r="L279" s="30"/>
      <c r="M279" s="10"/>
    </row>
    <row r="280" spans="1:19" x14ac:dyDescent="0.3">
      <c r="B280" s="500" t="str">
        <f>IF(Intro!$G$20="English",O280,P280)</f>
        <v>In the table below, “Error” means that the sum of the quarterly imports reported above exceeds the annual imports reported in Question 1. Therefore, please modify the data if necessary.</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15"/>
      <c r="C282" s="216"/>
      <c r="D282" s="216"/>
      <c r="E282" s="216"/>
      <c r="F282" s="216"/>
      <c r="G282" s="216"/>
      <c r="H282" s="216"/>
      <c r="I282" s="216"/>
      <c r="J282" s="216"/>
      <c r="K282" s="216"/>
      <c r="L282" s="217"/>
      <c r="M282" s="10"/>
      <c r="S282" s="38"/>
    </row>
    <row r="283" spans="1:19" x14ac:dyDescent="0.3">
      <c r="B283" s="237"/>
      <c r="C283" s="224"/>
      <c r="D283" s="238"/>
      <c r="E283" s="45"/>
      <c r="F283" s="221">
        <f>G283-1</f>
        <v>2025</v>
      </c>
      <c r="G283" s="221">
        <f>Variables!B8</f>
        <v>2026</v>
      </c>
      <c r="H283" s="295"/>
      <c r="I283" s="291"/>
      <c r="J283" s="291"/>
      <c r="K283" s="291"/>
      <c r="L283" s="296"/>
      <c r="M283" s="10"/>
      <c r="O283" s="18"/>
    </row>
    <row r="284" spans="1:19" ht="14.85" customHeight="1" x14ac:dyDescent="0.3">
      <c r="B284" s="237"/>
      <c r="C284" s="243"/>
      <c r="D284" s="786" t="str">
        <f>B246</f>
        <v>Verification - volume</v>
      </c>
      <c r="E284" s="787"/>
      <c r="F284" s="232" t="str">
        <f>IF(SUM(E273:H273)&gt;SUM(I43,I59,I27),Variables!$D$63,Variables!$D$64)</f>
        <v>Okay</v>
      </c>
      <c r="G284" s="232" t="str">
        <f>IF(SUM(I273)&gt;SUM(K27,K43,K59),Variables!$D$63,Variables!$D$64)</f>
        <v>Okay</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11" customFormat="1" x14ac:dyDescent="0.3">
      <c r="A286" s="7"/>
      <c r="B286" s="21" t="s">
        <v>20</v>
      </c>
      <c r="C286" s="22"/>
      <c r="D286" s="22"/>
      <c r="E286" s="23"/>
      <c r="F286" s="23"/>
      <c r="G286" s="23"/>
      <c r="H286" s="23"/>
      <c r="I286" s="23"/>
      <c r="J286" s="23"/>
      <c r="K286" s="23"/>
      <c r="L286" s="24"/>
      <c r="M286" s="73"/>
    </row>
    <row r="287" spans="1:19" s="38" customFormat="1" x14ac:dyDescent="0.3">
      <c r="A287" s="49"/>
      <c r="B287" s="53"/>
      <c r="C287" s="94"/>
      <c r="D287" s="94"/>
      <c r="E287" s="94"/>
      <c r="F287" s="94"/>
      <c r="G287" s="94"/>
      <c r="H287" s="94"/>
      <c r="I287" s="94"/>
      <c r="J287" s="94"/>
      <c r="K287" s="94"/>
      <c r="L287" s="54"/>
      <c r="O287" s="10"/>
      <c r="P287" s="10"/>
      <c r="Q287" s="10"/>
      <c r="R287" s="10"/>
    </row>
    <row r="288" spans="1:19" s="38" customFormat="1" x14ac:dyDescent="0.3">
      <c r="A288" s="49"/>
      <c r="B288" s="500" t="str">
        <f>IF(Intro!$G$20="English",O288,P288)</f>
        <v>Describe any factors (for example, shipping delays, seasonality, etc.) which would explain the overall trend in your firm's quarterly import volumes and ending inventories, as reported in Question 6.</v>
      </c>
      <c r="C288" s="501"/>
      <c r="D288" s="501"/>
      <c r="E288" s="501"/>
      <c r="F288" s="501"/>
      <c r="G288" s="501"/>
      <c r="H288" s="501"/>
      <c r="I288" s="501"/>
      <c r="J288" s="501"/>
      <c r="K288" s="501"/>
      <c r="L288" s="502"/>
      <c r="O288" s="10" t="s">
        <v>380</v>
      </c>
      <c r="P288" s="10" t="s">
        <v>381</v>
      </c>
      <c r="Q288" s="10"/>
      <c r="R288" s="10"/>
    </row>
    <row r="289" spans="1:18" s="38" customFormat="1" x14ac:dyDescent="0.3">
      <c r="A289" s="49"/>
      <c r="B289" s="500"/>
      <c r="C289" s="501"/>
      <c r="D289" s="501"/>
      <c r="E289" s="501"/>
      <c r="F289" s="501"/>
      <c r="G289" s="501"/>
      <c r="H289" s="501"/>
      <c r="I289" s="501"/>
      <c r="J289" s="501"/>
      <c r="K289" s="501"/>
      <c r="L289" s="502"/>
      <c r="O289" s="10"/>
      <c r="P289" s="10"/>
      <c r="Q289" s="10"/>
      <c r="R289" s="10"/>
    </row>
    <row r="290" spans="1:18" s="38" customFormat="1" x14ac:dyDescent="0.3">
      <c r="A290" s="49"/>
      <c r="B290" s="53"/>
      <c r="C290" s="94"/>
      <c r="D290" s="94"/>
      <c r="E290" s="94"/>
      <c r="F290" s="94"/>
      <c r="G290" s="94"/>
      <c r="H290" s="94"/>
      <c r="I290" s="94"/>
      <c r="J290" s="94"/>
      <c r="K290" s="94"/>
      <c r="L290" s="54"/>
      <c r="O290" s="10"/>
      <c r="P290" s="10"/>
      <c r="Q290" s="10"/>
      <c r="R290" s="10"/>
    </row>
    <row r="291" spans="1:18" s="11" customFormat="1" x14ac:dyDescent="0.3">
      <c r="A291" s="8"/>
      <c r="B291" s="639"/>
      <c r="C291" s="640"/>
      <c r="D291" s="640"/>
      <c r="E291" s="640"/>
      <c r="F291" s="640"/>
      <c r="G291" s="640"/>
      <c r="H291" s="640"/>
      <c r="I291" s="640"/>
      <c r="J291" s="640"/>
      <c r="K291" s="640"/>
      <c r="L291" s="641"/>
      <c r="M291" s="38"/>
    </row>
    <row r="292" spans="1:18" s="11" customFormat="1" x14ac:dyDescent="0.3">
      <c r="A292" s="8"/>
      <c r="B292" s="639"/>
      <c r="C292" s="640"/>
      <c r="D292" s="640"/>
      <c r="E292" s="640"/>
      <c r="F292" s="640"/>
      <c r="G292" s="640"/>
      <c r="H292" s="640"/>
      <c r="I292" s="640"/>
      <c r="J292" s="640"/>
      <c r="K292" s="640"/>
      <c r="L292" s="641"/>
      <c r="M292" s="38"/>
    </row>
    <row r="293" spans="1:18" s="11" customFormat="1" x14ac:dyDescent="0.3">
      <c r="A293" s="8"/>
      <c r="B293" s="639"/>
      <c r="C293" s="640"/>
      <c r="D293" s="640"/>
      <c r="E293" s="640"/>
      <c r="F293" s="640"/>
      <c r="G293" s="640"/>
      <c r="H293" s="640"/>
      <c r="I293" s="640"/>
      <c r="J293" s="640"/>
      <c r="K293" s="640"/>
      <c r="L293" s="641"/>
      <c r="M293" s="38"/>
    </row>
    <row r="294" spans="1:18" s="11" customFormat="1" x14ac:dyDescent="0.3">
      <c r="A294" s="8"/>
      <c r="B294" s="639"/>
      <c r="C294" s="640"/>
      <c r="D294" s="640"/>
      <c r="E294" s="640"/>
      <c r="F294" s="640"/>
      <c r="G294" s="640"/>
      <c r="H294" s="640"/>
      <c r="I294" s="640"/>
      <c r="J294" s="640"/>
      <c r="K294" s="640"/>
      <c r="L294" s="641"/>
      <c r="M294" s="38"/>
    </row>
    <row r="295" spans="1:18" s="11" customFormat="1" x14ac:dyDescent="0.3">
      <c r="A295" s="8"/>
      <c r="B295" s="639"/>
      <c r="C295" s="640"/>
      <c r="D295" s="640"/>
      <c r="E295" s="640"/>
      <c r="F295" s="640"/>
      <c r="G295" s="640"/>
      <c r="H295" s="640"/>
      <c r="I295" s="640"/>
      <c r="J295" s="640"/>
      <c r="K295" s="640"/>
      <c r="L295" s="641"/>
      <c r="M295" s="38"/>
    </row>
    <row r="296" spans="1:18" s="11" customFormat="1" x14ac:dyDescent="0.3">
      <c r="A296" s="8"/>
      <c r="B296" s="639"/>
      <c r="C296" s="640"/>
      <c r="D296" s="640"/>
      <c r="E296" s="640"/>
      <c r="F296" s="640"/>
      <c r="G296" s="640"/>
      <c r="H296" s="640"/>
      <c r="I296" s="640"/>
      <c r="J296" s="640"/>
      <c r="K296" s="640"/>
      <c r="L296" s="641"/>
      <c r="M296" s="38"/>
    </row>
    <row r="297" spans="1:18" s="11" customFormat="1" x14ac:dyDescent="0.3">
      <c r="A297" s="8"/>
      <c r="B297" s="639"/>
      <c r="C297" s="640"/>
      <c r="D297" s="640"/>
      <c r="E297" s="640"/>
      <c r="F297" s="640"/>
      <c r="G297" s="640"/>
      <c r="H297" s="640"/>
      <c r="I297" s="640"/>
      <c r="J297" s="640"/>
      <c r="K297" s="640"/>
      <c r="L297" s="641"/>
      <c r="M297" s="38"/>
    </row>
    <row r="298" spans="1:18" s="11" customFormat="1" x14ac:dyDescent="0.3">
      <c r="A298" s="8"/>
      <c r="B298" s="639"/>
      <c r="C298" s="640"/>
      <c r="D298" s="640"/>
      <c r="E298" s="640"/>
      <c r="F298" s="640"/>
      <c r="G298" s="640"/>
      <c r="H298" s="640"/>
      <c r="I298" s="640"/>
      <c r="J298" s="640"/>
      <c r="K298" s="640"/>
      <c r="L298" s="641"/>
      <c r="M298" s="38"/>
    </row>
    <row r="299" spans="1:18" s="38" customFormat="1" x14ac:dyDescent="0.3">
      <c r="A299" s="49"/>
      <c r="B299" s="50"/>
      <c r="C299" s="51"/>
      <c r="D299" s="51"/>
      <c r="E299" s="51"/>
      <c r="F299" s="51"/>
      <c r="G299" s="51"/>
      <c r="H299" s="51"/>
      <c r="I299" s="51"/>
      <c r="J299" s="51"/>
      <c r="K299" s="51"/>
      <c r="L299" s="52"/>
      <c r="O299" s="10"/>
      <c r="P299" s="10"/>
      <c r="Q299" s="10"/>
      <c r="R299" s="10"/>
    </row>
  </sheetData>
  <sheetProtection algorithmName="SHA-512" hashValue="vBqYoaFvYcy4s7U8IMlLc+OgDeY1PNCLRVOHa6ylAp9iztolDicfouPmJuPPx2GDeLM+oXVd92Q1jiGvq45yWA==" saltValue="jqIF9Mhe7SCu/IyOEZ61ig==" spinCount="100000" sheet="1" objects="1" scenarios="1" selectLockedCells="1"/>
  <mergeCells count="244">
    <mergeCell ref="B150:D150"/>
    <mergeCell ref="B74:K74"/>
    <mergeCell ref="B82:C84"/>
    <mergeCell ref="D82:F82"/>
    <mergeCell ref="D83:F83"/>
    <mergeCell ref="D84:F84"/>
    <mergeCell ref="B179:D179"/>
    <mergeCell ref="B174:D174"/>
    <mergeCell ref="B170:D170"/>
    <mergeCell ref="B169:D169"/>
    <mergeCell ref="B85:C87"/>
    <mergeCell ref="D85:F85"/>
    <mergeCell ref="D86:F86"/>
    <mergeCell ref="D87:F87"/>
    <mergeCell ref="B75:C77"/>
    <mergeCell ref="D75:F75"/>
    <mergeCell ref="D76:F76"/>
    <mergeCell ref="D77:F77"/>
    <mergeCell ref="B78:K78"/>
    <mergeCell ref="B79:C81"/>
    <mergeCell ref="D79:F79"/>
    <mergeCell ref="D80:F80"/>
    <mergeCell ref="D81:F81"/>
    <mergeCell ref="B178:D178"/>
    <mergeCell ref="B59:C61"/>
    <mergeCell ref="D59:F59"/>
    <mergeCell ref="D60:F60"/>
    <mergeCell ref="D61:F61"/>
    <mergeCell ref="B62:K62"/>
    <mergeCell ref="B104:D104"/>
    <mergeCell ref="B63:C65"/>
    <mergeCell ref="D63:F63"/>
    <mergeCell ref="D64:F64"/>
    <mergeCell ref="D65:F65"/>
    <mergeCell ref="B66:C68"/>
    <mergeCell ref="D66:F66"/>
    <mergeCell ref="D67:F67"/>
    <mergeCell ref="D68:F68"/>
    <mergeCell ref="B69:C71"/>
    <mergeCell ref="D69:F69"/>
    <mergeCell ref="D70:F70"/>
    <mergeCell ref="D71:F71"/>
    <mergeCell ref="B209:D209"/>
    <mergeCell ref="B195:L195"/>
    <mergeCell ref="B192:F192"/>
    <mergeCell ref="B191:F191"/>
    <mergeCell ref="B198:L198"/>
    <mergeCell ref="B173:D173"/>
    <mergeCell ref="B175:D175"/>
    <mergeCell ref="D43:F43"/>
    <mergeCell ref="D44:F44"/>
    <mergeCell ref="D45:F45"/>
    <mergeCell ref="B46:K46"/>
    <mergeCell ref="B47:C49"/>
    <mergeCell ref="D47:F47"/>
    <mergeCell ref="D48:F48"/>
    <mergeCell ref="D49:F49"/>
    <mergeCell ref="B50:C52"/>
    <mergeCell ref="D50:F50"/>
    <mergeCell ref="D51:F51"/>
    <mergeCell ref="D52:F52"/>
    <mergeCell ref="B53:C55"/>
    <mergeCell ref="D53:F53"/>
    <mergeCell ref="D54:F54"/>
    <mergeCell ref="D55:F55"/>
    <mergeCell ref="B58:K58"/>
    <mergeCell ref="B239:D239"/>
    <mergeCell ref="B240:D240"/>
    <mergeCell ref="B262:B264"/>
    <mergeCell ref="B252:F252"/>
    <mergeCell ref="B253:F253"/>
    <mergeCell ref="B256:L256"/>
    <mergeCell ref="F264:H264"/>
    <mergeCell ref="F263:H263"/>
    <mergeCell ref="F262:H262"/>
    <mergeCell ref="F261:H261"/>
    <mergeCell ref="B20:L20"/>
    <mergeCell ref="B91:L91"/>
    <mergeCell ref="B136:L136"/>
    <mergeCell ref="B196:L196"/>
    <mergeCell ref="B257:L257"/>
    <mergeCell ref="B268:L268"/>
    <mergeCell ref="B108:D108"/>
    <mergeCell ref="B112:D112"/>
    <mergeCell ref="B90:L90"/>
    <mergeCell ref="B130:F130"/>
    <mergeCell ref="B131:F131"/>
    <mergeCell ref="B132:F132"/>
    <mergeCell ref="B187:F187"/>
    <mergeCell ref="B188:F188"/>
    <mergeCell ref="B189:F189"/>
    <mergeCell ref="B165:D165"/>
    <mergeCell ref="B168:D168"/>
    <mergeCell ref="B190:F190"/>
    <mergeCell ref="B206:D206"/>
    <mergeCell ref="B229:D229"/>
    <mergeCell ref="B210:D210"/>
    <mergeCell ref="B211:D211"/>
    <mergeCell ref="B185:F185"/>
    <mergeCell ref="B259:L259"/>
    <mergeCell ref="B291:L298"/>
    <mergeCell ref="B214:D214"/>
    <mergeCell ref="B215:D215"/>
    <mergeCell ref="B274:C274"/>
    <mergeCell ref="C263:E263"/>
    <mergeCell ref="C264:E264"/>
    <mergeCell ref="B216:D216"/>
    <mergeCell ref="B280:L281"/>
    <mergeCell ref="B246:F246"/>
    <mergeCell ref="B247:F247"/>
    <mergeCell ref="B248:F248"/>
    <mergeCell ref="B249:F249"/>
    <mergeCell ref="B250:F250"/>
    <mergeCell ref="B251:F251"/>
    <mergeCell ref="C262:E262"/>
    <mergeCell ref="B219:D219"/>
    <mergeCell ref="B220:D220"/>
    <mergeCell ref="B230:D230"/>
    <mergeCell ref="B234:D234"/>
    <mergeCell ref="B217:L218"/>
    <mergeCell ref="D284:E284"/>
    <mergeCell ref="B267:L267"/>
    <mergeCell ref="B235:D235"/>
    <mergeCell ref="B236:D236"/>
    <mergeCell ref="B288:L289"/>
    <mergeCell ref="B225:D225"/>
    <mergeCell ref="B278:C278"/>
    <mergeCell ref="B14:L14"/>
    <mergeCell ref="B13:L13"/>
    <mergeCell ref="B182:L183"/>
    <mergeCell ref="B243:L244"/>
    <mergeCell ref="B122:L123"/>
    <mergeCell ref="B141:L142"/>
    <mergeCell ref="B146:L147"/>
    <mergeCell ref="B151:L152"/>
    <mergeCell ref="B156:L157"/>
    <mergeCell ref="B161:L162"/>
    <mergeCell ref="B166:L167"/>
    <mergeCell ref="B171:L172"/>
    <mergeCell ref="B176:L177"/>
    <mergeCell ref="B202:L203"/>
    <mergeCell ref="B207:L208"/>
    <mergeCell ref="B212:L213"/>
    <mergeCell ref="B96:D96"/>
    <mergeCell ref="B140:D140"/>
    <mergeCell ref="B201:D201"/>
    <mergeCell ref="B204:D204"/>
    <mergeCell ref="B205:D205"/>
    <mergeCell ref="B4:L4"/>
    <mergeCell ref="B5:L5"/>
    <mergeCell ref="B6:L6"/>
    <mergeCell ref="B143:D143"/>
    <mergeCell ref="B144:D144"/>
    <mergeCell ref="B145:D145"/>
    <mergeCell ref="B148:D148"/>
    <mergeCell ref="B149:D149"/>
    <mergeCell ref="B114:D114"/>
    <mergeCell ref="B116:D116"/>
    <mergeCell ref="B103:D103"/>
    <mergeCell ref="B107:D107"/>
    <mergeCell ref="B111:D111"/>
    <mergeCell ref="B115:D115"/>
    <mergeCell ref="B113:L113"/>
    <mergeCell ref="B98:D98"/>
    <mergeCell ref="B100:D100"/>
    <mergeCell ref="B102:D102"/>
    <mergeCell ref="B99:D99"/>
    <mergeCell ref="B110:D110"/>
    <mergeCell ref="B8:L8"/>
    <mergeCell ref="B9:L9"/>
    <mergeCell ref="B19:L19"/>
    <mergeCell ref="D35:F35"/>
    <mergeCell ref="D39:F39"/>
    <mergeCell ref="B241:D241"/>
    <mergeCell ref="B231:D231"/>
    <mergeCell ref="B222:L223"/>
    <mergeCell ref="B227:L228"/>
    <mergeCell ref="B232:L233"/>
    <mergeCell ref="B237:L238"/>
    <mergeCell ref="B163:D163"/>
    <mergeCell ref="B164:D164"/>
    <mergeCell ref="B106:D106"/>
    <mergeCell ref="B101:L101"/>
    <mergeCell ref="B105:L105"/>
    <mergeCell ref="B109:L109"/>
    <mergeCell ref="B153:D153"/>
    <mergeCell ref="B154:D154"/>
    <mergeCell ref="B155:D155"/>
    <mergeCell ref="B159:D159"/>
    <mergeCell ref="B160:D160"/>
    <mergeCell ref="B117:L117"/>
    <mergeCell ref="B135:L135"/>
    <mergeCell ref="B42:K42"/>
    <mergeCell ref="B180:D180"/>
    <mergeCell ref="B158:D158"/>
    <mergeCell ref="B186:F186"/>
    <mergeCell ref="B277:C277"/>
    <mergeCell ref="B270:L270"/>
    <mergeCell ref="B199:L199"/>
    <mergeCell ref="B273:C273"/>
    <mergeCell ref="B226:D226"/>
    <mergeCell ref="B138:L138"/>
    <mergeCell ref="B93:L93"/>
    <mergeCell ref="B31:C33"/>
    <mergeCell ref="B34:C36"/>
    <mergeCell ref="B125:F125"/>
    <mergeCell ref="B127:F127"/>
    <mergeCell ref="B126:F126"/>
    <mergeCell ref="B128:F128"/>
    <mergeCell ref="B129:F129"/>
    <mergeCell ref="B221:D221"/>
    <mergeCell ref="B224:D224"/>
    <mergeCell ref="B97:L97"/>
    <mergeCell ref="D31:F31"/>
    <mergeCell ref="D33:F33"/>
    <mergeCell ref="D34:F34"/>
    <mergeCell ref="D36:F36"/>
    <mergeCell ref="D32:F32"/>
    <mergeCell ref="B94:L94"/>
    <mergeCell ref="D38:F38"/>
    <mergeCell ref="B10:L11"/>
    <mergeCell ref="B43:C45"/>
    <mergeCell ref="B118:D118"/>
    <mergeCell ref="B119:D119"/>
    <mergeCell ref="B120:D120"/>
    <mergeCell ref="B25:F25"/>
    <mergeCell ref="B41:F41"/>
    <mergeCell ref="B57:F57"/>
    <mergeCell ref="B26:K26"/>
    <mergeCell ref="B30:K30"/>
    <mergeCell ref="B15:L15"/>
    <mergeCell ref="B16:L16"/>
    <mergeCell ref="B17:L17"/>
    <mergeCell ref="B27:C29"/>
    <mergeCell ref="D27:F27"/>
    <mergeCell ref="D29:F29"/>
    <mergeCell ref="G22:K22"/>
    <mergeCell ref="B22:F22"/>
    <mergeCell ref="D28:F28"/>
    <mergeCell ref="G23:K23"/>
    <mergeCell ref="B23:F23"/>
    <mergeCell ref="B37:C39"/>
    <mergeCell ref="D37:F37"/>
    <mergeCell ref="B12:L12"/>
  </mergeCells>
  <conditionalFormatting sqref="F284:G284">
    <cfRule type="cellIs" dxfId="18" priority="1" operator="equal">
      <formula>"Error"</formula>
    </cfRule>
  </conditionalFormatting>
  <conditionalFormatting sqref="G126:I128 G130:I132 G186:I188 G190:I192 G251:I253">
    <cfRule type="cellIs" dxfId="17" priority="5" operator="equal">
      <formula>"Error"</formula>
    </cfRule>
  </conditionalFormatting>
  <conditionalFormatting sqref="G247:I249">
    <cfRule type="cellIs" dxfId="16"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91:B293"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F264 E104:L104 E108:L108 E231:L231 E170:L170 E175:L175 G29:K29 E100:L100 E112:L112 E241:L241 E145:L145 E150:L150 E155:L155 E160:L160 E165:L165 F284:G284 E180:L180 E206:L206 E211:L211 E216:L216 E221:L221 E226:L226 E236:L236 G251:I253 G36:K39 G186:I188 G190:I192 G126:I128 G130:I132 G247:I249 G33:K33 G45:K45 G52:K55 G49:K49 G68:K71 G61:K61 G84:K87 G65:K65 G77:K77 G81:K81 E116:L116 E120:L120"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B166:L167 G75:K76 I277:I278 E239:L240 E234:L235 E229:L230 E224:L225 E219:L220 E214:L215 E209:L210 E204:L205 E178:L179 E173:L174 E168:L169 E163:L164 E158:L159 E153:L154 E148:L149 E143:L144 E114:L115 E110:L111 E106:L107 E102:L103 E98:L99 G34:K35 G31:K32 G27:K28 G50:K51 G47:K48 G43:K44 G66:K67 G63:K64 G59:K60 G82:K83 G79:K80 E118:L119 E273:I274 E277:E278 G277:G278 F262:F263" xr:uid="{027B1B71-C8B1-43D5-9040-15650B9A865C}">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E04D9-424B-4F41-9C49-5C9AEE7BF002}">
  <sheetPr>
    <tabColor rgb="FF92D050"/>
    <pageSetUpPr fitToPage="1"/>
  </sheetPr>
  <dimension ref="A1:S299"/>
  <sheetViews>
    <sheetView showGridLines="0" workbookViewId="0"/>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PROTECTED</v>
      </c>
      <c r="C2" s="12"/>
      <c r="D2" s="12"/>
      <c r="O2" s="262" t="s">
        <v>93</v>
      </c>
      <c r="P2" s="262" t="s">
        <v>109</v>
      </c>
    </row>
    <row r="3" spans="1:16" x14ac:dyDescent="0.3">
      <c r="B3" s="13"/>
      <c r="C3" s="13"/>
      <c r="D3" s="13"/>
      <c r="O3" s="2"/>
      <c r="P3" s="2"/>
    </row>
    <row r="4" spans="1:16" s="2" customFormat="1" x14ac:dyDescent="0.3">
      <c r="A4" s="33"/>
      <c r="B4" s="588" t="str">
        <f>Info!B4</f>
        <v>IMPORTERS' QUESTIONNAIRE</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FORGED GRINDING MEDIA</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x14ac:dyDescent="0.3">
      <c r="A9" s="33"/>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x14ac:dyDescent="0.3">
      <c r="A10" s="33"/>
      <c r="B10" s="633" t="str">
        <f>IF(Intro!$G$20="English",O10,P10)</f>
        <v>Use one numbered "Imp-Exp" tab for each exporter your firm imported from. To acquire additional "Imp-Exp" tabs, contact a case analyst identified on the "Intro" tab.</v>
      </c>
      <c r="C10" s="634"/>
      <c r="D10" s="634"/>
      <c r="E10" s="634"/>
      <c r="F10" s="634"/>
      <c r="G10" s="634"/>
      <c r="H10" s="634"/>
      <c r="I10" s="634"/>
      <c r="J10" s="634"/>
      <c r="K10" s="634"/>
      <c r="L10" s="635"/>
      <c r="M10" s="19"/>
      <c r="N10" s="19"/>
      <c r="O10" s="10" t="s">
        <v>340</v>
      </c>
      <c r="P10" s="10" t="s">
        <v>339</v>
      </c>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For the questions in this tab, note the following:</v>
      </c>
      <c r="C12" s="634"/>
      <c r="D12" s="634"/>
      <c r="E12" s="634"/>
      <c r="F12" s="634"/>
      <c r="G12" s="634"/>
      <c r="H12" s="634"/>
      <c r="I12" s="634"/>
      <c r="J12" s="634"/>
      <c r="K12" s="634"/>
      <c r="L12" s="635"/>
      <c r="M12" s="19"/>
      <c r="N12" s="19"/>
      <c r="O12" s="15"/>
      <c r="P12" s="15"/>
    </row>
    <row r="13" spans="1:16" s="6" customFormat="1" x14ac:dyDescent="0.3">
      <c r="A13" s="33"/>
      <c r="B13" s="725" t="str">
        <f>Pro!B13</f>
        <v>• Report only sales from your firm’s imports. Sales of goods purchased from Canadian producers must be excluded.</v>
      </c>
      <c r="C13" s="726"/>
      <c r="D13" s="726"/>
      <c r="E13" s="726"/>
      <c r="F13" s="726"/>
      <c r="G13" s="726"/>
      <c r="H13" s="726"/>
      <c r="I13" s="726"/>
      <c r="J13" s="726"/>
      <c r="K13" s="726"/>
      <c r="L13" s="727"/>
      <c r="M13" s="19"/>
      <c r="N13" s="19"/>
      <c r="O13" s="15"/>
      <c r="P13" s="15"/>
    </row>
    <row r="14" spans="1:16" s="6" customFormat="1" x14ac:dyDescent="0.3">
      <c r="A14" s="33"/>
      <c r="B14" s="633" t="str">
        <f>Pro!B14</f>
        <v>• Report all sales to Canadian and foreign associated firms.</v>
      </c>
      <c r="C14" s="634"/>
      <c r="D14" s="634"/>
      <c r="E14" s="634"/>
      <c r="F14" s="634"/>
      <c r="G14" s="634"/>
      <c r="H14" s="634"/>
      <c r="I14" s="634"/>
      <c r="J14" s="634"/>
      <c r="K14" s="634"/>
      <c r="L14" s="635"/>
      <c r="M14" s="19"/>
      <c r="N14" s="19"/>
      <c r="O14" s="15"/>
      <c r="P14" s="15"/>
    </row>
    <row r="15" spans="1:16" s="6" customFormat="1" x14ac:dyDescent="0.3">
      <c r="A15" s="33"/>
      <c r="B15" s="633" t="str">
        <f>Pro!B15</f>
        <v>• Report all sales as of the date of shipment to the customer or the customer’s warehouse.</v>
      </c>
      <c r="C15" s="634"/>
      <c r="D15" s="634"/>
      <c r="E15" s="634"/>
      <c r="F15" s="634"/>
      <c r="G15" s="634"/>
      <c r="H15" s="634"/>
      <c r="I15" s="634"/>
      <c r="J15" s="634"/>
      <c r="K15" s="634"/>
      <c r="L15" s="635"/>
      <c r="M15" s="19"/>
      <c r="N15" s="19"/>
      <c r="O15" s="15"/>
      <c r="P15" s="15"/>
    </row>
    <row r="16" spans="1:16" s="6" customFormat="1" x14ac:dyDescent="0.3">
      <c r="A16" s="33"/>
      <c r="B16" s="633" t="str">
        <f>Pro!B16</f>
        <v>• Report all values in Canadian dollars.</v>
      </c>
      <c r="C16" s="634"/>
      <c r="D16" s="634"/>
      <c r="E16" s="634"/>
      <c r="F16" s="634"/>
      <c r="G16" s="634"/>
      <c r="H16" s="634"/>
      <c r="I16" s="634"/>
      <c r="J16" s="634"/>
      <c r="K16" s="634"/>
      <c r="L16" s="635"/>
      <c r="M16" s="19"/>
      <c r="N16" s="19"/>
      <c r="O16" s="15"/>
      <c r="P16" s="15"/>
    </row>
    <row r="17" spans="1:16" s="6" customFormat="1" x14ac:dyDescent="0.3">
      <c r="A17" s="33"/>
      <c r="B17" s="636" t="str">
        <f>IF(Intro!$G$20="English",O17,P17)</f>
        <v>• If your firm is an end user or a retailer, your firm does not need to report sales of imports or inventories of imports.</v>
      </c>
      <c r="C17" s="637"/>
      <c r="D17" s="637"/>
      <c r="E17" s="637"/>
      <c r="F17" s="637"/>
      <c r="G17" s="637"/>
      <c r="H17" s="637"/>
      <c r="I17" s="637"/>
      <c r="J17" s="637"/>
      <c r="K17" s="637"/>
      <c r="L17" s="638"/>
      <c r="M17" s="19"/>
      <c r="N17" s="19"/>
      <c r="O17" s="15" t="s">
        <v>264</v>
      </c>
      <c r="P17" s="15" t="s">
        <v>265</v>
      </c>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IMPORTS AND SALES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Provide your firm's imports and sales of imports of the goods from: </v>
      </c>
      <c r="C22" s="719"/>
      <c r="D22" s="719"/>
      <c r="E22" s="719"/>
      <c r="F22" s="719"/>
      <c r="G22" s="745" t="str">
        <f>Variables!D47</f>
        <v>China</v>
      </c>
      <c r="H22" s="745"/>
      <c r="I22" s="745"/>
      <c r="J22" s="745"/>
      <c r="K22" s="745"/>
      <c r="L22" s="260"/>
      <c r="M22" s="10"/>
      <c r="O22" s="10" t="s">
        <v>284</v>
      </c>
      <c r="P22" s="10" t="s">
        <v>285</v>
      </c>
    </row>
    <row r="23" spans="1:16" ht="15.6" x14ac:dyDescent="0.3">
      <c r="B23" s="747" t="str">
        <f>IF(Intro!$G$20="English",O23,P23)</f>
        <v xml:space="preserve">Exporter name: </v>
      </c>
      <c r="C23" s="748"/>
      <c r="D23" s="748"/>
      <c r="E23" s="748"/>
      <c r="F23" s="748"/>
      <c r="G23" s="746"/>
      <c r="H23" s="746"/>
      <c r="I23" s="746"/>
      <c r="J23" s="746"/>
      <c r="K23" s="746"/>
      <c r="L23" s="260"/>
      <c r="M23" s="10"/>
      <c r="O23" s="10" t="s">
        <v>167</v>
      </c>
      <c r="P23" s="10" t="s">
        <v>168</v>
      </c>
    </row>
    <row r="24" spans="1:16" x14ac:dyDescent="0.3">
      <c r="B24" s="135"/>
      <c r="C24" s="136"/>
      <c r="D24" s="136"/>
      <c r="E24" s="136"/>
      <c r="F24" s="136"/>
      <c r="G24" s="36"/>
      <c r="H24" s="36"/>
      <c r="I24" s="36"/>
      <c r="J24" s="36"/>
      <c r="K24" s="36"/>
      <c r="L24" s="17"/>
      <c r="M24" s="10"/>
    </row>
    <row r="25" spans="1:16" x14ac:dyDescent="0.3">
      <c r="B25" s="737" t="str">
        <f>IF(Intro!$G$20="English",O25,P25)</f>
        <v>Forged</v>
      </c>
      <c r="C25" s="738"/>
      <c r="D25" s="738"/>
      <c r="E25" s="738"/>
      <c r="F25" s="739"/>
      <c r="G25" s="266">
        <f>Variables!$B$6</f>
        <v>2023</v>
      </c>
      <c r="H25" s="266">
        <f>G25+1</f>
        <v>2024</v>
      </c>
      <c r="I25" s="266">
        <f>H25+1</f>
        <v>2025</v>
      </c>
      <c r="J25" s="266" t="str">
        <f>IF(Intro!$G$20="English",Variables!B9,Variables!C9)</f>
        <v>Jan-Mar 2025</v>
      </c>
      <c r="K25" s="266" t="str">
        <f>IF(Intro!$G$20="English",Variables!B10,Variables!C10)</f>
        <v>Jan-Mar 2026</v>
      </c>
      <c r="L25" s="71"/>
      <c r="M25" s="10"/>
      <c r="O25" s="18" t="str">
        <f>Variables!B70</f>
        <v>Forged</v>
      </c>
      <c r="P25" s="18" t="str">
        <f>Variables!C70</f>
        <v>Forgeage</v>
      </c>
    </row>
    <row r="26" spans="1:16" s="262" customFormat="1" x14ac:dyDescent="0.3">
      <c r="A26" s="32"/>
      <c r="B26" s="740" t="str">
        <f>IF(Intro!$G$20="English",O26,P26)</f>
        <v>Imports in Canada</v>
      </c>
      <c r="C26" s="741"/>
      <c r="D26" s="741"/>
      <c r="E26" s="741"/>
      <c r="F26" s="741"/>
      <c r="G26" s="741"/>
      <c r="H26" s="741"/>
      <c r="I26" s="741"/>
      <c r="J26" s="741"/>
      <c r="K26" s="741"/>
      <c r="L26" s="71"/>
      <c r="O26" s="26" t="s">
        <v>233</v>
      </c>
      <c r="P26" s="262" t="s">
        <v>234</v>
      </c>
    </row>
    <row r="27" spans="1:16" x14ac:dyDescent="0.3">
      <c r="B27" s="733" t="str">
        <f>IF(Intro!$G$20="English",O27,P27)</f>
        <v>Imports</v>
      </c>
      <c r="C27" s="734"/>
      <c r="D27" s="744" t="str">
        <f>IF(Intro!$G$20="English",Variables!$B$23,Variables!$C$23)</f>
        <v>tonnes</v>
      </c>
      <c r="E27" s="744"/>
      <c r="F27" s="744"/>
      <c r="G27" s="137"/>
      <c r="H27" s="137"/>
      <c r="I27" s="137"/>
      <c r="J27" s="137"/>
      <c r="K27" s="131"/>
      <c r="L27" s="71"/>
      <c r="M27" s="10"/>
      <c r="O27" s="10" t="s">
        <v>91</v>
      </c>
      <c r="P27" s="10" t="s">
        <v>169</v>
      </c>
    </row>
    <row r="28" spans="1:16" x14ac:dyDescent="0.3">
      <c r="B28" s="733"/>
      <c r="C28" s="734"/>
      <c r="D28" s="744" t="str">
        <f>IF(Intro!$G$20="English",O28,P28)</f>
        <v>net delivered purchase value (CAD)</v>
      </c>
      <c r="E28" s="744"/>
      <c r="F28" s="744"/>
      <c r="G28" s="137"/>
      <c r="H28" s="137"/>
      <c r="I28" s="137"/>
      <c r="J28" s="137"/>
      <c r="K28" s="131"/>
      <c r="L28" s="71"/>
      <c r="M28" s="10"/>
      <c r="O28" s="10" t="s">
        <v>342</v>
      </c>
      <c r="P28" s="10" t="s">
        <v>341</v>
      </c>
    </row>
    <row r="29" spans="1:16" x14ac:dyDescent="0.3">
      <c r="B29" s="733"/>
      <c r="C29" s="734"/>
      <c r="D29" s="744" t="str">
        <f>"$ / "&amp;IF(Intro!$G$20="English",Variables!$B$24,Variables!$C$24)</f>
        <v>$ / tonne</v>
      </c>
      <c r="E29" s="744"/>
      <c r="F29" s="744"/>
      <c r="G29" s="288" t="str">
        <f>IF(G27=0,"-",G28/G27)</f>
        <v>-</v>
      </c>
      <c r="H29" s="288" t="str">
        <f>IF(H27=0,"-",H28/H27)</f>
        <v>-</v>
      </c>
      <c r="I29" s="288" t="str">
        <f t="shared" ref="I29:K29" si="0">IF(I27=0,"-",I28/I27)</f>
        <v>-</v>
      </c>
      <c r="J29" s="288" t="str">
        <f t="shared" si="0"/>
        <v>-</v>
      </c>
      <c r="K29" s="288" t="str">
        <f t="shared" si="0"/>
        <v>-</v>
      </c>
      <c r="L29" s="71"/>
      <c r="M29" s="10"/>
    </row>
    <row r="30" spans="1:16" s="262" customFormat="1" x14ac:dyDescent="0.3">
      <c r="A30" s="32"/>
      <c r="B30" s="742" t="str">
        <f>IF(Intro!$G$20="English",O30,P30)</f>
        <v>Sales in Canada</v>
      </c>
      <c r="C30" s="743"/>
      <c r="D30" s="743"/>
      <c r="E30" s="743"/>
      <c r="F30" s="743"/>
      <c r="G30" s="743"/>
      <c r="H30" s="743"/>
      <c r="I30" s="743"/>
      <c r="J30" s="743"/>
      <c r="K30" s="743"/>
      <c r="L30" s="71"/>
      <c r="O30" s="26" t="s">
        <v>235</v>
      </c>
      <c r="P30" s="262" t="s">
        <v>236</v>
      </c>
    </row>
    <row r="31" spans="1:16" x14ac:dyDescent="0.3">
      <c r="B31" s="540" t="str">
        <f>IF(Intro!$G$20="English",O31,P31)</f>
        <v>Sales to end users in Canada</v>
      </c>
      <c r="C31" s="541"/>
      <c r="D31" s="744" t="str">
        <f>D27</f>
        <v>tonnes</v>
      </c>
      <c r="E31" s="744"/>
      <c r="F31" s="744"/>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44" t="str">
        <f>IF(Intro!$G$20="English",O32,P32)</f>
        <v>net delivered selling value (CAD)</v>
      </c>
      <c r="E32" s="744"/>
      <c r="F32" s="744"/>
      <c r="G32" s="137"/>
      <c r="H32" s="137"/>
      <c r="I32" s="137"/>
      <c r="J32" s="137"/>
      <c r="K32" s="131"/>
      <c r="L32" s="71"/>
      <c r="M32" s="10"/>
      <c r="O32" s="10" t="s">
        <v>344</v>
      </c>
      <c r="P32" s="10" t="s">
        <v>343</v>
      </c>
    </row>
    <row r="33" spans="1:16" ht="15" thickBot="1" x14ac:dyDescent="0.35">
      <c r="B33" s="752"/>
      <c r="C33" s="753"/>
      <c r="D33" s="769" t="str">
        <f>D29</f>
        <v>$ / tonne</v>
      </c>
      <c r="E33" s="769"/>
      <c r="F33" s="769"/>
      <c r="G33" s="156" t="str">
        <f>IF(G31=0,"-",G32/G31)</f>
        <v>-</v>
      </c>
      <c r="H33" s="156" t="str">
        <f>IF(H31=0,"-",H32/H31)</f>
        <v>-</v>
      </c>
      <c r="I33" s="156" t="str">
        <f t="shared" ref="I33:K33" si="1">IF(I31=0,"-",I32/I31)</f>
        <v>-</v>
      </c>
      <c r="J33" s="156" t="str">
        <f t="shared" si="1"/>
        <v>-</v>
      </c>
      <c r="K33" s="156" t="str">
        <f t="shared" si="1"/>
        <v>-</v>
      </c>
      <c r="L33" s="71"/>
      <c r="M33" s="10"/>
    </row>
    <row r="34" spans="1:16" x14ac:dyDescent="0.3">
      <c r="B34" s="754" t="str">
        <f>IF(Intro!$G$20="English",O34,P34)</f>
        <v>Sales to other in Canada</v>
      </c>
      <c r="C34" s="755"/>
      <c r="D34" s="770" t="str">
        <f t="shared" ref="D34:D36" si="2">D31</f>
        <v>tonnes</v>
      </c>
      <c r="E34" s="770"/>
      <c r="F34" s="770"/>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44" t="str">
        <f t="shared" si="2"/>
        <v>net delivered selling value (CAD)</v>
      </c>
      <c r="E35" s="744"/>
      <c r="F35" s="744"/>
      <c r="G35" s="137"/>
      <c r="H35" s="137"/>
      <c r="I35" s="137"/>
      <c r="J35" s="137"/>
      <c r="K35" s="131"/>
      <c r="L35" s="71"/>
      <c r="M35" s="10"/>
    </row>
    <row r="36" spans="1:16" ht="15" thickBot="1" x14ac:dyDescent="0.35">
      <c r="B36" s="752"/>
      <c r="C36" s="753"/>
      <c r="D36" s="769" t="str">
        <f t="shared" si="2"/>
        <v>$ / tonne</v>
      </c>
      <c r="E36" s="769"/>
      <c r="F36" s="769"/>
      <c r="G36" s="288" t="str">
        <f>IF(G34=0,"-",G35/G34)</f>
        <v>-</v>
      </c>
      <c r="H36" s="288" t="str">
        <f>IF(H34=0,"-",H35/H34)</f>
        <v>-</v>
      </c>
      <c r="I36" s="288" t="str">
        <f t="shared" ref="I36:K36" si="3">IF(I34=0,"-",I35/I34)</f>
        <v>-</v>
      </c>
      <c r="J36" s="288" t="str">
        <f t="shared" si="3"/>
        <v>-</v>
      </c>
      <c r="K36" s="288" t="str">
        <f t="shared" si="3"/>
        <v>-</v>
      </c>
      <c r="L36" s="71"/>
      <c r="M36" s="10"/>
    </row>
    <row r="37" spans="1:16" x14ac:dyDescent="0.3">
      <c r="B37" s="607" t="str">
        <f>IF(Intro!$G$20="English",O37,P37)</f>
        <v>Total sales in Canada</v>
      </c>
      <c r="C37" s="608"/>
      <c r="D37" s="749" t="str">
        <f>D34</f>
        <v>tonnes</v>
      </c>
      <c r="E37" s="749"/>
      <c r="F37" s="749"/>
      <c r="G37" s="139">
        <f t="shared" ref="G37:K38" si="4">G31+G34</f>
        <v>0</v>
      </c>
      <c r="H37" s="139">
        <f t="shared" si="4"/>
        <v>0</v>
      </c>
      <c r="I37" s="139">
        <f t="shared" si="4"/>
        <v>0</v>
      </c>
      <c r="J37" s="139">
        <f t="shared" si="4"/>
        <v>0</v>
      </c>
      <c r="K37" s="139">
        <f t="shared" si="4"/>
        <v>0</v>
      </c>
      <c r="L37" s="71"/>
      <c r="M37" s="10"/>
      <c r="O37" s="10" t="s">
        <v>345</v>
      </c>
      <c r="P37" s="10" t="s">
        <v>346</v>
      </c>
    </row>
    <row r="38" spans="1:16" x14ac:dyDescent="0.3">
      <c r="B38" s="596"/>
      <c r="C38" s="597"/>
      <c r="D38" s="771" t="str">
        <f>D35</f>
        <v>net delivered selling value (CAD)</v>
      </c>
      <c r="E38" s="771"/>
      <c r="F38" s="771"/>
      <c r="G38" s="138">
        <f t="shared" si="4"/>
        <v>0</v>
      </c>
      <c r="H38" s="138">
        <f t="shared" si="4"/>
        <v>0</v>
      </c>
      <c r="I38" s="138">
        <f t="shared" si="4"/>
        <v>0</v>
      </c>
      <c r="J38" s="138">
        <f t="shared" si="4"/>
        <v>0</v>
      </c>
      <c r="K38" s="138">
        <f t="shared" si="4"/>
        <v>0</v>
      </c>
      <c r="L38" s="71"/>
      <c r="M38" s="10"/>
    </row>
    <row r="39" spans="1:16" x14ac:dyDescent="0.3">
      <c r="B39" s="596"/>
      <c r="C39" s="597"/>
      <c r="D39" s="771" t="str">
        <f>D36</f>
        <v>$ / tonne</v>
      </c>
      <c r="E39" s="771"/>
      <c r="F39" s="771"/>
      <c r="G39" s="288" t="str">
        <f>IF(G37=0,"-",G38/G37)</f>
        <v>-</v>
      </c>
      <c r="H39" s="288" t="str">
        <f>IF(H37=0,"-",H38/H37)</f>
        <v>-</v>
      </c>
      <c r="I39" s="288" t="str">
        <f t="shared" ref="I39:K39" si="5">IF(I37=0,"-",I38/I37)</f>
        <v>-</v>
      </c>
      <c r="J39" s="288" t="str">
        <f t="shared" si="5"/>
        <v>-</v>
      </c>
      <c r="K39" s="288" t="str">
        <f t="shared" si="5"/>
        <v>-</v>
      </c>
      <c r="L39" s="71"/>
      <c r="M39" s="10"/>
    </row>
    <row r="40" spans="1:16" x14ac:dyDescent="0.3">
      <c r="B40" s="135"/>
      <c r="C40" s="136"/>
      <c r="D40" s="136"/>
      <c r="E40" s="136"/>
      <c r="F40" s="136"/>
      <c r="G40" s="36"/>
      <c r="H40" s="36"/>
      <c r="I40" s="36"/>
      <c r="J40" s="36"/>
      <c r="K40" s="36"/>
      <c r="L40" s="17"/>
      <c r="M40" s="10"/>
    </row>
    <row r="41" spans="1:16" x14ac:dyDescent="0.3">
      <c r="B41" s="737" t="str">
        <f>IF(Intro!$G$20="English",O41,P41)</f>
        <v>Stamped</v>
      </c>
      <c r="C41" s="738"/>
      <c r="D41" s="738"/>
      <c r="E41" s="738"/>
      <c r="F41" s="739"/>
      <c r="G41" s="266">
        <f>G25</f>
        <v>2023</v>
      </c>
      <c r="H41" s="266">
        <f>H25</f>
        <v>2024</v>
      </c>
      <c r="I41" s="266">
        <f t="shared" ref="I41:K41" si="6">I25</f>
        <v>2025</v>
      </c>
      <c r="J41" s="266" t="str">
        <f t="shared" si="6"/>
        <v>Jan-Mar 2025</v>
      </c>
      <c r="K41" s="266" t="str">
        <f t="shared" si="6"/>
        <v>Jan-Mar 2026</v>
      </c>
      <c r="L41" s="71"/>
      <c r="M41" s="10"/>
      <c r="O41" s="18" t="str">
        <f>Variables!B71</f>
        <v>Stamped</v>
      </c>
      <c r="P41" s="18" t="str">
        <f>Variables!C71</f>
        <v>Estampage</v>
      </c>
    </row>
    <row r="42" spans="1:16" s="262" customFormat="1" x14ac:dyDescent="0.3">
      <c r="A42" s="32"/>
      <c r="B42" s="740" t="str">
        <f>IF(Intro!$G$20="English",O42,P42)</f>
        <v>Imports in Canada</v>
      </c>
      <c r="C42" s="741"/>
      <c r="D42" s="741"/>
      <c r="E42" s="741"/>
      <c r="F42" s="741"/>
      <c r="G42" s="741"/>
      <c r="H42" s="741"/>
      <c r="I42" s="741"/>
      <c r="J42" s="741"/>
      <c r="K42" s="741"/>
      <c r="L42" s="71"/>
      <c r="O42" s="26" t="s">
        <v>233</v>
      </c>
      <c r="P42" s="262" t="s">
        <v>234</v>
      </c>
    </row>
    <row r="43" spans="1:16" x14ac:dyDescent="0.3">
      <c r="B43" s="733" t="str">
        <f>IF(Intro!$G$20="English",O43,P43)</f>
        <v>Imports</v>
      </c>
      <c r="C43" s="734"/>
      <c r="D43" s="744" t="str">
        <f>IF(Intro!$G$20="English",Variables!$B$23,Variables!$C$23)</f>
        <v>tonnes</v>
      </c>
      <c r="E43" s="744"/>
      <c r="F43" s="744"/>
      <c r="G43" s="137"/>
      <c r="H43" s="137"/>
      <c r="I43" s="137"/>
      <c r="J43" s="137"/>
      <c r="K43" s="131"/>
      <c r="L43" s="71"/>
      <c r="M43" s="10"/>
      <c r="O43" s="10" t="s">
        <v>91</v>
      </c>
      <c r="P43" s="10" t="s">
        <v>169</v>
      </c>
    </row>
    <row r="44" spans="1:16" x14ac:dyDescent="0.3">
      <c r="B44" s="733"/>
      <c r="C44" s="734"/>
      <c r="D44" s="744" t="str">
        <f>IF(Intro!$G$20="English",O44,P44)</f>
        <v>net delivered purchase value (CAD)</v>
      </c>
      <c r="E44" s="744"/>
      <c r="F44" s="744"/>
      <c r="G44" s="137"/>
      <c r="H44" s="137"/>
      <c r="I44" s="137"/>
      <c r="J44" s="137"/>
      <c r="K44" s="131"/>
      <c r="L44" s="71"/>
      <c r="M44" s="10"/>
      <c r="O44" s="10" t="s">
        <v>342</v>
      </c>
      <c r="P44" s="10" t="s">
        <v>341</v>
      </c>
    </row>
    <row r="45" spans="1:16" x14ac:dyDescent="0.3">
      <c r="B45" s="733"/>
      <c r="C45" s="734"/>
      <c r="D45" s="744" t="str">
        <f>"$ / "&amp;IF(Intro!$G$20="English",Variables!$B$24,Variables!$C$24)</f>
        <v>$ / tonne</v>
      </c>
      <c r="E45" s="744"/>
      <c r="F45" s="744"/>
      <c r="G45" s="288" t="str">
        <f>IF(G43=0,"-",G44/G43)</f>
        <v>-</v>
      </c>
      <c r="H45" s="288" t="str">
        <f>IF(H43=0,"-",H44/H43)</f>
        <v>-</v>
      </c>
      <c r="I45" s="288" t="str">
        <f t="shared" ref="I45:K45" si="7">IF(I43=0,"-",I44/I43)</f>
        <v>-</v>
      </c>
      <c r="J45" s="288" t="str">
        <f t="shared" si="7"/>
        <v>-</v>
      </c>
      <c r="K45" s="288" t="str">
        <f t="shared" si="7"/>
        <v>-</v>
      </c>
      <c r="L45" s="71"/>
      <c r="M45" s="10"/>
    </row>
    <row r="46" spans="1:16" s="262" customFormat="1" x14ac:dyDescent="0.3">
      <c r="A46" s="32"/>
      <c r="B46" s="742" t="str">
        <f>IF(Intro!$G$20="English",O46,P46)</f>
        <v>Sales in Canada</v>
      </c>
      <c r="C46" s="743"/>
      <c r="D46" s="743"/>
      <c r="E46" s="743"/>
      <c r="F46" s="743"/>
      <c r="G46" s="743"/>
      <c r="H46" s="743"/>
      <c r="I46" s="743"/>
      <c r="J46" s="743"/>
      <c r="K46" s="743"/>
      <c r="L46" s="71"/>
      <c r="O46" s="26" t="s">
        <v>235</v>
      </c>
      <c r="P46" s="262" t="s">
        <v>236</v>
      </c>
    </row>
    <row r="47" spans="1:16" x14ac:dyDescent="0.3">
      <c r="B47" s="540" t="str">
        <f>IF(Intro!$G$20="English",O47,P47)</f>
        <v>Sales to end users in Canada</v>
      </c>
      <c r="C47" s="541"/>
      <c r="D47" s="744" t="str">
        <f>D43</f>
        <v>tonnes</v>
      </c>
      <c r="E47" s="744"/>
      <c r="F47" s="744"/>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44" t="str">
        <f>IF(Intro!$G$20="English",O48,P48)</f>
        <v>net delivered selling value (CAD)</v>
      </c>
      <c r="E48" s="744"/>
      <c r="F48" s="744"/>
      <c r="G48" s="137"/>
      <c r="H48" s="137"/>
      <c r="I48" s="137"/>
      <c r="J48" s="137"/>
      <c r="K48" s="131"/>
      <c r="L48" s="71"/>
      <c r="M48" s="10"/>
      <c r="O48" s="10" t="s">
        <v>344</v>
      </c>
      <c r="P48" s="10" t="s">
        <v>343</v>
      </c>
    </row>
    <row r="49" spans="1:16" ht="15" thickBot="1" x14ac:dyDescent="0.35">
      <c r="B49" s="752"/>
      <c r="C49" s="753"/>
      <c r="D49" s="769" t="str">
        <f>D45</f>
        <v>$ / tonne</v>
      </c>
      <c r="E49" s="769"/>
      <c r="F49" s="769"/>
      <c r="G49" s="156" t="str">
        <f>IF(G47=0,"-",G48/G47)</f>
        <v>-</v>
      </c>
      <c r="H49" s="156" t="str">
        <f>IF(H47=0,"-",H48/H47)</f>
        <v>-</v>
      </c>
      <c r="I49" s="156" t="str">
        <f t="shared" ref="I49:K49" si="8">IF(I47=0,"-",I48/I47)</f>
        <v>-</v>
      </c>
      <c r="J49" s="156" t="str">
        <f t="shared" si="8"/>
        <v>-</v>
      </c>
      <c r="K49" s="156" t="str">
        <f t="shared" si="8"/>
        <v>-</v>
      </c>
      <c r="L49" s="71"/>
      <c r="M49" s="10"/>
    </row>
    <row r="50" spans="1:16" x14ac:dyDescent="0.3">
      <c r="B50" s="754" t="str">
        <f>IF(Intro!$G$20="English",O50,P50)</f>
        <v>Sales to other in Canada</v>
      </c>
      <c r="C50" s="755"/>
      <c r="D50" s="770" t="str">
        <f t="shared" ref="D50:D52" si="9">D47</f>
        <v>tonnes</v>
      </c>
      <c r="E50" s="770"/>
      <c r="F50" s="770"/>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44" t="str">
        <f t="shared" si="9"/>
        <v>net delivered selling value (CAD)</v>
      </c>
      <c r="E51" s="744"/>
      <c r="F51" s="744"/>
      <c r="G51" s="137"/>
      <c r="H51" s="137"/>
      <c r="I51" s="137"/>
      <c r="J51" s="137"/>
      <c r="K51" s="131"/>
      <c r="L51" s="71"/>
      <c r="M51" s="10"/>
    </row>
    <row r="52" spans="1:16" ht="15" thickBot="1" x14ac:dyDescent="0.35">
      <c r="B52" s="752"/>
      <c r="C52" s="753"/>
      <c r="D52" s="769" t="str">
        <f t="shared" si="9"/>
        <v>$ / tonne</v>
      </c>
      <c r="E52" s="769"/>
      <c r="F52" s="769"/>
      <c r="G52" s="288" t="str">
        <f>IF(G50=0,"-",G51/G50)</f>
        <v>-</v>
      </c>
      <c r="H52" s="288" t="str">
        <f>IF(H50=0,"-",H51/H50)</f>
        <v>-</v>
      </c>
      <c r="I52" s="288" t="str">
        <f t="shared" ref="I52:K52" si="10">IF(I50=0,"-",I51/I50)</f>
        <v>-</v>
      </c>
      <c r="J52" s="288" t="str">
        <f t="shared" si="10"/>
        <v>-</v>
      </c>
      <c r="K52" s="288" t="str">
        <f t="shared" si="10"/>
        <v>-</v>
      </c>
      <c r="L52" s="71"/>
      <c r="M52" s="10"/>
    </row>
    <row r="53" spans="1:16" x14ac:dyDescent="0.3">
      <c r="B53" s="607" t="str">
        <f>IF(Intro!$G$20="English",O53,P53)</f>
        <v>Total sales in Canada</v>
      </c>
      <c r="C53" s="608"/>
      <c r="D53" s="749" t="str">
        <f>D50</f>
        <v>tonnes</v>
      </c>
      <c r="E53" s="749"/>
      <c r="F53" s="749"/>
      <c r="G53" s="139">
        <f t="shared" ref="G53:K53" si="11">G47+G50</f>
        <v>0</v>
      </c>
      <c r="H53" s="139">
        <f t="shared" si="11"/>
        <v>0</v>
      </c>
      <c r="I53" s="139">
        <f t="shared" si="11"/>
        <v>0</v>
      </c>
      <c r="J53" s="139">
        <f t="shared" si="11"/>
        <v>0</v>
      </c>
      <c r="K53" s="139">
        <f t="shared" si="11"/>
        <v>0</v>
      </c>
      <c r="L53" s="71"/>
      <c r="M53" s="10"/>
      <c r="O53" s="10" t="s">
        <v>345</v>
      </c>
      <c r="P53" s="10" t="s">
        <v>346</v>
      </c>
    </row>
    <row r="54" spans="1:16" x14ac:dyDescent="0.3">
      <c r="B54" s="596"/>
      <c r="C54" s="597"/>
      <c r="D54" s="771" t="str">
        <f>D51</f>
        <v>net delivered selling value (CAD)</v>
      </c>
      <c r="E54" s="771"/>
      <c r="F54" s="771"/>
      <c r="G54" s="138">
        <f t="shared" ref="G54:K54" si="12">G48+G51</f>
        <v>0</v>
      </c>
      <c r="H54" s="138">
        <f t="shared" si="12"/>
        <v>0</v>
      </c>
      <c r="I54" s="138">
        <f t="shared" si="12"/>
        <v>0</v>
      </c>
      <c r="J54" s="138">
        <f t="shared" si="12"/>
        <v>0</v>
      </c>
      <c r="K54" s="138">
        <f t="shared" si="12"/>
        <v>0</v>
      </c>
      <c r="L54" s="71"/>
      <c r="M54" s="10"/>
    </row>
    <row r="55" spans="1:16" x14ac:dyDescent="0.3">
      <c r="B55" s="596"/>
      <c r="C55" s="597"/>
      <c r="D55" s="771" t="str">
        <f>D52</f>
        <v>$ / tonne</v>
      </c>
      <c r="E55" s="771"/>
      <c r="F55" s="771"/>
      <c r="G55" s="288" t="str">
        <f>IF(G53=0,"-",G54/G53)</f>
        <v>-</v>
      </c>
      <c r="H55" s="288" t="str">
        <f>IF(H53=0,"-",H54/H53)</f>
        <v>-</v>
      </c>
      <c r="I55" s="288" t="str">
        <f t="shared" ref="I55:K55" si="13">IF(I53=0,"-",I54/I53)</f>
        <v>-</v>
      </c>
      <c r="J55" s="288" t="str">
        <f t="shared" si="13"/>
        <v>-</v>
      </c>
      <c r="K55" s="288" t="str">
        <f t="shared" si="13"/>
        <v>-</v>
      </c>
      <c r="L55" s="71"/>
      <c r="M55" s="10"/>
    </row>
    <row r="56" spans="1:16" x14ac:dyDescent="0.3">
      <c r="B56" s="135"/>
      <c r="C56" s="136"/>
      <c r="D56" s="136"/>
      <c r="E56" s="136"/>
      <c r="F56" s="136"/>
      <c r="G56" s="36"/>
      <c r="H56" s="36"/>
      <c r="I56" s="36"/>
      <c r="J56" s="36"/>
      <c r="K56" s="36"/>
      <c r="L56" s="17"/>
      <c r="M56" s="10"/>
    </row>
    <row r="57" spans="1:16" x14ac:dyDescent="0.3">
      <c r="B57" s="737" t="str">
        <f>IF(Intro!$G$20="English",O57,P57)</f>
        <v>Unfinished (Green Balls)</v>
      </c>
      <c r="C57" s="738"/>
      <c r="D57" s="738"/>
      <c r="E57" s="738"/>
      <c r="F57" s="739"/>
      <c r="G57" s="266">
        <f>G41</f>
        <v>2023</v>
      </c>
      <c r="H57" s="266">
        <f>H41</f>
        <v>2024</v>
      </c>
      <c r="I57" s="266">
        <f t="shared" ref="I57:K57" si="14">I41</f>
        <v>2025</v>
      </c>
      <c r="J57" s="266" t="str">
        <f t="shared" si="14"/>
        <v>Jan-Mar 2025</v>
      </c>
      <c r="K57" s="266" t="str">
        <f t="shared" si="14"/>
        <v>Jan-Mar 2026</v>
      </c>
      <c r="L57" s="71"/>
      <c r="M57" s="10"/>
      <c r="O57" s="18" t="str">
        <f>Variables!B72</f>
        <v>Unfinished (Green Balls)</v>
      </c>
      <c r="P57" s="18" t="str">
        <f>Variables!C72</f>
        <v>Non finis (les boulets verts)</v>
      </c>
    </row>
    <row r="58" spans="1:16" s="262" customFormat="1" x14ac:dyDescent="0.3">
      <c r="A58" s="32"/>
      <c r="B58" s="740" t="str">
        <f>IF(Intro!$G$20="English",O58,P58)</f>
        <v>Imports in Canada</v>
      </c>
      <c r="C58" s="741"/>
      <c r="D58" s="741"/>
      <c r="E58" s="741"/>
      <c r="F58" s="741"/>
      <c r="G58" s="741"/>
      <c r="H58" s="741"/>
      <c r="I58" s="741"/>
      <c r="J58" s="741"/>
      <c r="K58" s="741"/>
      <c r="L58" s="71"/>
      <c r="O58" s="26" t="s">
        <v>233</v>
      </c>
      <c r="P58" s="262" t="s">
        <v>234</v>
      </c>
    </row>
    <row r="59" spans="1:16" x14ac:dyDescent="0.3">
      <c r="B59" s="733" t="str">
        <f>IF(Intro!$G$20="English",O59,P59)</f>
        <v>Imports</v>
      </c>
      <c r="C59" s="734"/>
      <c r="D59" s="744" t="str">
        <f>IF(Intro!$G$20="English",Variables!$B$23,Variables!$C$23)</f>
        <v>tonnes</v>
      </c>
      <c r="E59" s="744"/>
      <c r="F59" s="744"/>
      <c r="G59" s="137"/>
      <c r="H59" s="137"/>
      <c r="I59" s="137"/>
      <c r="J59" s="137"/>
      <c r="K59" s="131"/>
      <c r="L59" s="71"/>
      <c r="M59" s="10"/>
      <c r="O59" s="10" t="s">
        <v>91</v>
      </c>
      <c r="P59" s="10" t="s">
        <v>169</v>
      </c>
    </row>
    <row r="60" spans="1:16" x14ac:dyDescent="0.3">
      <c r="B60" s="733"/>
      <c r="C60" s="734"/>
      <c r="D60" s="744" t="str">
        <f>IF(Intro!$G$20="English",O60,P60)</f>
        <v>net delivered purchase value (CAD)</v>
      </c>
      <c r="E60" s="744"/>
      <c r="F60" s="744"/>
      <c r="G60" s="137"/>
      <c r="H60" s="137"/>
      <c r="I60" s="137"/>
      <c r="J60" s="137"/>
      <c r="K60" s="131"/>
      <c r="L60" s="71"/>
      <c r="M60" s="10"/>
      <c r="O60" s="10" t="s">
        <v>342</v>
      </c>
      <c r="P60" s="10" t="s">
        <v>341</v>
      </c>
    </row>
    <row r="61" spans="1:16" x14ac:dyDescent="0.3">
      <c r="B61" s="733"/>
      <c r="C61" s="734"/>
      <c r="D61" s="744" t="str">
        <f>"$ / "&amp;IF(Intro!$G$20="English",Variables!$B$24,Variables!$C$24)</f>
        <v>$ / tonne</v>
      </c>
      <c r="E61" s="744"/>
      <c r="F61" s="744"/>
      <c r="G61" s="288" t="str">
        <f>IF(G59=0,"-",G60/G59)</f>
        <v>-</v>
      </c>
      <c r="H61" s="288" t="str">
        <f>IF(H59=0,"-",H60/H59)</f>
        <v>-</v>
      </c>
      <c r="I61" s="288" t="str">
        <f t="shared" ref="I61:K61" si="15">IF(I59=0,"-",I60/I59)</f>
        <v>-</v>
      </c>
      <c r="J61" s="288" t="str">
        <f t="shared" si="15"/>
        <v>-</v>
      </c>
      <c r="K61" s="288" t="str">
        <f t="shared" si="15"/>
        <v>-</v>
      </c>
      <c r="L61" s="71"/>
      <c r="M61" s="10"/>
    </row>
    <row r="62" spans="1:16" s="262" customFormat="1" x14ac:dyDescent="0.3">
      <c r="A62" s="32"/>
      <c r="B62" s="742" t="str">
        <f>IF(Intro!$G$20="English",O62,P62)</f>
        <v>Sales in Canada</v>
      </c>
      <c r="C62" s="743"/>
      <c r="D62" s="743"/>
      <c r="E62" s="743"/>
      <c r="F62" s="743"/>
      <c r="G62" s="743"/>
      <c r="H62" s="743"/>
      <c r="I62" s="743"/>
      <c r="J62" s="743"/>
      <c r="K62" s="743"/>
      <c r="L62" s="71"/>
      <c r="O62" s="26" t="s">
        <v>235</v>
      </c>
      <c r="P62" s="262" t="s">
        <v>236</v>
      </c>
    </row>
    <row r="63" spans="1:16" x14ac:dyDescent="0.3">
      <c r="B63" s="540" t="str">
        <f>IF(Intro!$G$20="English",O63,P63)</f>
        <v>Sales to end users in Canada</v>
      </c>
      <c r="C63" s="541"/>
      <c r="D63" s="744" t="str">
        <f>D59</f>
        <v>tonnes</v>
      </c>
      <c r="E63" s="744"/>
      <c r="F63" s="744"/>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44" t="str">
        <f>IF(Intro!$G$20="English",O64,P64)</f>
        <v>net delivered selling value (CAD)</v>
      </c>
      <c r="E64" s="744"/>
      <c r="F64" s="744"/>
      <c r="G64" s="137"/>
      <c r="H64" s="137"/>
      <c r="I64" s="137"/>
      <c r="J64" s="137"/>
      <c r="K64" s="131"/>
      <c r="L64" s="71"/>
      <c r="M64" s="10"/>
      <c r="O64" s="10" t="s">
        <v>344</v>
      </c>
      <c r="P64" s="10" t="s">
        <v>343</v>
      </c>
    </row>
    <row r="65" spans="1:16" ht="15" thickBot="1" x14ac:dyDescent="0.35">
      <c r="B65" s="752"/>
      <c r="C65" s="753"/>
      <c r="D65" s="769" t="str">
        <f>D61</f>
        <v>$ / tonne</v>
      </c>
      <c r="E65" s="769"/>
      <c r="F65" s="769"/>
      <c r="G65" s="288" t="str">
        <f>IF(G63=0,"-",G64/G63)</f>
        <v>-</v>
      </c>
      <c r="H65" s="288" t="str">
        <f>IF(H63=0,"-",H64/H63)</f>
        <v>-</v>
      </c>
      <c r="I65" s="288" t="str">
        <f t="shared" ref="I65:K65" si="16">IF(I63=0,"-",I64/I63)</f>
        <v>-</v>
      </c>
      <c r="J65" s="288" t="str">
        <f t="shared" si="16"/>
        <v>-</v>
      </c>
      <c r="K65" s="288" t="str">
        <f t="shared" si="16"/>
        <v>-</v>
      </c>
      <c r="L65" s="71"/>
      <c r="M65" s="10"/>
    </row>
    <row r="66" spans="1:16" x14ac:dyDescent="0.3">
      <c r="B66" s="754" t="str">
        <f>IF(Intro!$G$20="English",O66,P66)</f>
        <v>Sales to other in Canada</v>
      </c>
      <c r="C66" s="755"/>
      <c r="D66" s="770" t="str">
        <f t="shared" ref="D66:D68" si="17">D63</f>
        <v>tonnes</v>
      </c>
      <c r="E66" s="770"/>
      <c r="F66" s="770"/>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44" t="str">
        <f t="shared" si="17"/>
        <v>net delivered selling value (CAD)</v>
      </c>
      <c r="E67" s="744"/>
      <c r="F67" s="744"/>
      <c r="G67" s="137"/>
      <c r="H67" s="137"/>
      <c r="I67" s="137"/>
      <c r="J67" s="137"/>
      <c r="K67" s="131"/>
      <c r="L67" s="71"/>
      <c r="M67" s="10"/>
    </row>
    <row r="68" spans="1:16" ht="15" thickBot="1" x14ac:dyDescent="0.35">
      <c r="B68" s="752"/>
      <c r="C68" s="753"/>
      <c r="D68" s="769" t="str">
        <f t="shared" si="17"/>
        <v>$ / tonne</v>
      </c>
      <c r="E68" s="769"/>
      <c r="F68" s="769"/>
      <c r="G68" s="288" t="str">
        <f>IF(G66=0,"-",G67/G66)</f>
        <v>-</v>
      </c>
      <c r="H68" s="288" t="str">
        <f>IF(H66=0,"-",H67/H66)</f>
        <v>-</v>
      </c>
      <c r="I68" s="288" t="str">
        <f t="shared" ref="I68:K68" si="18">IF(I66=0,"-",I67/I66)</f>
        <v>-</v>
      </c>
      <c r="J68" s="288" t="str">
        <f t="shared" si="18"/>
        <v>-</v>
      </c>
      <c r="K68" s="288" t="str">
        <f t="shared" si="18"/>
        <v>-</v>
      </c>
      <c r="L68" s="71"/>
      <c r="M68" s="10"/>
    </row>
    <row r="69" spans="1:16" x14ac:dyDescent="0.3">
      <c r="B69" s="607" t="str">
        <f>IF(Intro!$G$20="English",O69,P69)</f>
        <v>Total sales in Canada</v>
      </c>
      <c r="C69" s="608"/>
      <c r="D69" s="749" t="str">
        <f>D66</f>
        <v>tonnes</v>
      </c>
      <c r="E69" s="749"/>
      <c r="F69" s="749"/>
      <c r="G69" s="139">
        <f t="shared" ref="G69:K69" si="19">G63+G66</f>
        <v>0</v>
      </c>
      <c r="H69" s="139">
        <f t="shared" si="19"/>
        <v>0</v>
      </c>
      <c r="I69" s="139">
        <f t="shared" si="19"/>
        <v>0</v>
      </c>
      <c r="J69" s="139">
        <f t="shared" si="19"/>
        <v>0</v>
      </c>
      <c r="K69" s="139">
        <f t="shared" si="19"/>
        <v>0</v>
      </c>
      <c r="L69" s="71"/>
      <c r="M69" s="10"/>
      <c r="O69" s="10" t="s">
        <v>345</v>
      </c>
      <c r="P69" s="10" t="s">
        <v>346</v>
      </c>
    </row>
    <row r="70" spans="1:16" x14ac:dyDescent="0.3">
      <c r="B70" s="596"/>
      <c r="C70" s="597"/>
      <c r="D70" s="771" t="str">
        <f>D67</f>
        <v>net delivered selling value (CAD)</v>
      </c>
      <c r="E70" s="771"/>
      <c r="F70" s="771"/>
      <c r="G70" s="138">
        <f t="shared" ref="G70:K70" si="20">G64+G67</f>
        <v>0</v>
      </c>
      <c r="H70" s="138">
        <f t="shared" si="20"/>
        <v>0</v>
      </c>
      <c r="I70" s="138">
        <f t="shared" si="20"/>
        <v>0</v>
      </c>
      <c r="J70" s="138">
        <f t="shared" si="20"/>
        <v>0</v>
      </c>
      <c r="K70" s="138">
        <f t="shared" si="20"/>
        <v>0</v>
      </c>
      <c r="L70" s="71"/>
      <c r="M70" s="10"/>
    </row>
    <row r="71" spans="1:16" x14ac:dyDescent="0.3">
      <c r="B71" s="596"/>
      <c r="C71" s="597"/>
      <c r="D71" s="771" t="str">
        <f>D68</f>
        <v>$ / tonne</v>
      </c>
      <c r="E71" s="771"/>
      <c r="F71" s="771"/>
      <c r="G71" s="288" t="str">
        <f>IF(G69=0,"-",G70/G69)</f>
        <v>-</v>
      </c>
      <c r="H71" s="288" t="str">
        <f>IF(H69=0,"-",H70/H69)</f>
        <v>-</v>
      </c>
      <c r="I71" s="288" t="str">
        <f t="shared" ref="I71:K71" si="21">IF(I69=0,"-",I70/I69)</f>
        <v>-</v>
      </c>
      <c r="J71" s="288" t="str">
        <f t="shared" si="21"/>
        <v>-</v>
      </c>
      <c r="K71" s="288" t="str">
        <f t="shared" si="21"/>
        <v>-</v>
      </c>
      <c r="L71" s="71"/>
      <c r="M71" s="10"/>
    </row>
    <row r="72" spans="1:16" hidden="1" x14ac:dyDescent="0.3">
      <c r="B72" s="135"/>
      <c r="C72" s="136"/>
      <c r="D72" s="136"/>
      <c r="E72" s="136"/>
      <c r="F72" s="136"/>
      <c r="G72" s="36"/>
      <c r="H72" s="36"/>
      <c r="I72" s="36"/>
      <c r="J72" s="36"/>
      <c r="K72" s="36"/>
      <c r="L72" s="17"/>
      <c r="M72" s="10"/>
    </row>
    <row r="73" spans="1:16" hidden="1" x14ac:dyDescent="0.3">
      <c r="B73" s="135"/>
      <c r="C73" s="136"/>
      <c r="D73" s="136"/>
      <c r="E73" s="136"/>
      <c r="F73" s="136"/>
      <c r="G73" s="266">
        <f>G57</f>
        <v>2023</v>
      </c>
      <c r="H73" s="266">
        <f>H57</f>
        <v>2024</v>
      </c>
      <c r="I73" s="266">
        <f t="shared" ref="I73:K73" si="22">I57</f>
        <v>2025</v>
      </c>
      <c r="J73" s="266" t="str">
        <f t="shared" si="22"/>
        <v>Jan-Mar 2025</v>
      </c>
      <c r="K73" s="266" t="str">
        <f t="shared" si="22"/>
        <v>Jan-Mar 2026</v>
      </c>
      <c r="L73" s="71"/>
      <c r="M73" s="10"/>
      <c r="O73" s="18"/>
    </row>
    <row r="74" spans="1:16" s="262" customFormat="1" hidden="1" x14ac:dyDescent="0.3">
      <c r="A74" s="32"/>
      <c r="B74" s="740" t="str">
        <f>IF(Intro!$G$20="English",O74,P74)</f>
        <v>Imports in Canada</v>
      </c>
      <c r="C74" s="741"/>
      <c r="D74" s="741"/>
      <c r="E74" s="741"/>
      <c r="F74" s="741"/>
      <c r="G74" s="741"/>
      <c r="H74" s="741"/>
      <c r="I74" s="741"/>
      <c r="J74" s="741"/>
      <c r="K74" s="741"/>
      <c r="L74" s="71"/>
      <c r="O74" s="26" t="s">
        <v>233</v>
      </c>
      <c r="P74" s="262" t="s">
        <v>234</v>
      </c>
    </row>
    <row r="75" spans="1:16" hidden="1" x14ac:dyDescent="0.3">
      <c r="B75" s="733" t="str">
        <f>IF(Intro!$G$20="English",O75,P75)</f>
        <v>Imports</v>
      </c>
      <c r="C75" s="734"/>
      <c r="D75" s="744" t="str">
        <f>IF(Intro!$G$20="English",Variables!$B$23,Variables!$C$23)</f>
        <v>tonnes</v>
      </c>
      <c r="E75" s="744"/>
      <c r="F75" s="744"/>
      <c r="G75" s="137"/>
      <c r="H75" s="137"/>
      <c r="I75" s="137"/>
      <c r="J75" s="137"/>
      <c r="K75" s="131"/>
      <c r="L75" s="71"/>
      <c r="M75" s="10"/>
      <c r="O75" s="10" t="s">
        <v>91</v>
      </c>
      <c r="P75" s="10" t="s">
        <v>169</v>
      </c>
    </row>
    <row r="76" spans="1:16" hidden="1" x14ac:dyDescent="0.3">
      <c r="B76" s="733"/>
      <c r="C76" s="734"/>
      <c r="D76" s="744" t="str">
        <f>IF(Intro!$G$20="English",O76,P76)</f>
        <v>net delivered purchase value (CAD)</v>
      </c>
      <c r="E76" s="744"/>
      <c r="F76" s="744"/>
      <c r="G76" s="137"/>
      <c r="H76" s="137"/>
      <c r="I76" s="137"/>
      <c r="J76" s="137"/>
      <c r="K76" s="131"/>
      <c r="L76" s="71"/>
      <c r="M76" s="10"/>
      <c r="O76" s="10" t="s">
        <v>342</v>
      </c>
      <c r="P76" s="10" t="s">
        <v>341</v>
      </c>
    </row>
    <row r="77" spans="1:16" hidden="1" x14ac:dyDescent="0.3">
      <c r="B77" s="733"/>
      <c r="C77" s="734"/>
      <c r="D77" s="744" t="str">
        <f>"$ / "&amp;IF(Intro!$G$20="English",Variables!$B$24,Variables!$C$24)</f>
        <v>$ / tonne</v>
      </c>
      <c r="E77" s="744"/>
      <c r="F77" s="744"/>
      <c r="G77" s="156" t="str">
        <f>IF(G75=0,"-",G76/G75)</f>
        <v>-</v>
      </c>
      <c r="H77" s="156" t="str">
        <f>IF(H75=0,"-",H76/H75)</f>
        <v>-</v>
      </c>
      <c r="I77" s="156" t="str">
        <f t="shared" ref="I77:K77" si="23">IF(I75=0,"-",I76/I75)</f>
        <v>-</v>
      </c>
      <c r="J77" s="156" t="str">
        <f t="shared" si="23"/>
        <v>-</v>
      </c>
      <c r="K77" s="156" t="str">
        <f t="shared" si="23"/>
        <v>-</v>
      </c>
      <c r="L77" s="71"/>
      <c r="M77" s="10"/>
    </row>
    <row r="78" spans="1:16" s="262" customFormat="1" hidden="1" x14ac:dyDescent="0.3">
      <c r="A78" s="32"/>
      <c r="B78" s="742" t="str">
        <f>IF(Intro!$G$20="English",O78,P78)</f>
        <v>Sales in Canada</v>
      </c>
      <c r="C78" s="743"/>
      <c r="D78" s="743"/>
      <c r="E78" s="743"/>
      <c r="F78" s="743"/>
      <c r="G78" s="743"/>
      <c r="H78" s="743"/>
      <c r="I78" s="743"/>
      <c r="J78" s="743"/>
      <c r="K78" s="743"/>
      <c r="L78" s="71"/>
      <c r="O78" s="26" t="s">
        <v>235</v>
      </c>
      <c r="P78" s="262" t="s">
        <v>236</v>
      </c>
    </row>
    <row r="79" spans="1:16" hidden="1" x14ac:dyDescent="0.3">
      <c r="B79" s="540" t="str">
        <f>IF(Intro!$G$20="English",O79,P79)</f>
        <v>Sales to end users in Canada</v>
      </c>
      <c r="C79" s="541"/>
      <c r="D79" s="744" t="str">
        <f>D75</f>
        <v>tonnes</v>
      </c>
      <c r="E79" s="744"/>
      <c r="F79" s="744"/>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44" t="str">
        <f>IF(Intro!$G$20="English",O80,P80)</f>
        <v>net delivered selling value (CAD)</v>
      </c>
      <c r="E80" s="744"/>
      <c r="F80" s="744"/>
      <c r="G80" s="137"/>
      <c r="H80" s="137"/>
      <c r="I80" s="137"/>
      <c r="J80" s="137"/>
      <c r="K80" s="131"/>
      <c r="L80" s="71"/>
      <c r="M80" s="10"/>
      <c r="O80" s="10" t="s">
        <v>344</v>
      </c>
      <c r="P80" s="10" t="s">
        <v>343</v>
      </c>
    </row>
    <row r="81" spans="1:16" ht="15" hidden="1" thickBot="1" x14ac:dyDescent="0.35">
      <c r="B81" s="752"/>
      <c r="C81" s="753"/>
      <c r="D81" s="769" t="str">
        <f>D77</f>
        <v>$ / tonne</v>
      </c>
      <c r="E81" s="769"/>
      <c r="F81" s="769"/>
      <c r="G81" s="156" t="str">
        <f>IF(G79=0,"-",G80/G79)</f>
        <v>-</v>
      </c>
      <c r="H81" s="156" t="str">
        <f>IF(H79=0,"-",H80/H79)</f>
        <v>-</v>
      </c>
      <c r="I81" s="156" t="str">
        <f t="shared" ref="I81:K81" si="24">IF(I79=0,"-",I80/I79)</f>
        <v>-</v>
      </c>
      <c r="J81" s="156" t="str">
        <f t="shared" si="24"/>
        <v>-</v>
      </c>
      <c r="K81" s="156" t="str">
        <f t="shared" si="24"/>
        <v>-</v>
      </c>
      <c r="L81" s="71"/>
      <c r="M81" s="10"/>
    </row>
    <row r="82" spans="1:16" hidden="1" x14ac:dyDescent="0.3">
      <c r="B82" s="754" t="str">
        <f>IF(Intro!$G$20="English",O82,P82)</f>
        <v>Sales to other in Canada</v>
      </c>
      <c r="C82" s="755"/>
      <c r="D82" s="770" t="str">
        <f t="shared" ref="D82:D84" si="25">D79</f>
        <v>tonnes</v>
      </c>
      <c r="E82" s="770"/>
      <c r="F82" s="770"/>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44" t="str">
        <f t="shared" si="25"/>
        <v>net delivered selling value (CAD)</v>
      </c>
      <c r="E83" s="744"/>
      <c r="F83" s="744"/>
      <c r="G83" s="137"/>
      <c r="H83" s="137"/>
      <c r="I83" s="137"/>
      <c r="J83" s="137"/>
      <c r="K83" s="131"/>
      <c r="L83" s="71"/>
      <c r="M83" s="10"/>
    </row>
    <row r="84" spans="1:16" ht="15" hidden="1" thickBot="1" x14ac:dyDescent="0.35">
      <c r="B84" s="752"/>
      <c r="C84" s="753"/>
      <c r="D84" s="769" t="str">
        <f t="shared" si="25"/>
        <v>$ / tonne</v>
      </c>
      <c r="E84" s="769"/>
      <c r="F84" s="769"/>
      <c r="G84" s="156" t="str">
        <f>IF(G82=0,"-",G83/G82)</f>
        <v>-</v>
      </c>
      <c r="H84" s="156" t="str">
        <f>IF(H82=0,"-",H83/H82)</f>
        <v>-</v>
      </c>
      <c r="I84" s="156" t="str">
        <f t="shared" ref="I84:K84" si="26">IF(I82=0,"-",I83/I82)</f>
        <v>-</v>
      </c>
      <c r="J84" s="156" t="str">
        <f t="shared" si="26"/>
        <v>-</v>
      </c>
      <c r="K84" s="156" t="str">
        <f t="shared" si="26"/>
        <v>-</v>
      </c>
      <c r="L84" s="71"/>
      <c r="M84" s="10"/>
    </row>
    <row r="85" spans="1:16" hidden="1" x14ac:dyDescent="0.3">
      <c r="B85" s="607" t="str">
        <f>IF(Intro!$G$20="English",O85,P85)</f>
        <v>Total sales in Canada</v>
      </c>
      <c r="C85" s="608"/>
      <c r="D85" s="749" t="str">
        <f>D82</f>
        <v>tonnes</v>
      </c>
      <c r="E85" s="749"/>
      <c r="F85" s="749"/>
      <c r="G85" s="139">
        <f t="shared" ref="G85:K85" si="27">G79+G82</f>
        <v>0</v>
      </c>
      <c r="H85" s="139">
        <f t="shared" si="27"/>
        <v>0</v>
      </c>
      <c r="I85" s="139">
        <f t="shared" si="27"/>
        <v>0</v>
      </c>
      <c r="J85" s="139">
        <f t="shared" si="27"/>
        <v>0</v>
      </c>
      <c r="K85" s="139">
        <f t="shared" si="27"/>
        <v>0</v>
      </c>
      <c r="L85" s="71"/>
      <c r="M85" s="10"/>
      <c r="O85" s="10" t="s">
        <v>345</v>
      </c>
      <c r="P85" s="10" t="s">
        <v>346</v>
      </c>
    </row>
    <row r="86" spans="1:16" hidden="1" x14ac:dyDescent="0.3">
      <c r="B86" s="596"/>
      <c r="C86" s="597"/>
      <c r="D86" s="771" t="str">
        <f>D83</f>
        <v>net delivered selling value (CAD)</v>
      </c>
      <c r="E86" s="771"/>
      <c r="F86" s="771"/>
      <c r="G86" s="138">
        <f t="shared" ref="G86:K86" si="28">G80+G83</f>
        <v>0</v>
      </c>
      <c r="H86" s="138">
        <f t="shared" si="28"/>
        <v>0</v>
      </c>
      <c r="I86" s="138">
        <f t="shared" si="28"/>
        <v>0</v>
      </c>
      <c r="J86" s="138">
        <f t="shared" si="28"/>
        <v>0</v>
      </c>
      <c r="K86" s="138">
        <f t="shared" si="28"/>
        <v>0</v>
      </c>
      <c r="L86" s="71"/>
      <c r="M86" s="10"/>
    </row>
    <row r="87" spans="1:16" hidden="1" x14ac:dyDescent="0.3">
      <c r="B87" s="596"/>
      <c r="C87" s="597"/>
      <c r="D87" s="771" t="str">
        <f>D84</f>
        <v>$ / tonne</v>
      </c>
      <c r="E87" s="771"/>
      <c r="F87" s="771"/>
      <c r="G87" s="156" t="str">
        <f>IF(G85=0,"-",G86/G85)</f>
        <v>-</v>
      </c>
      <c r="H87" s="156" t="str">
        <f>IF(H85=0,"-",H86/H85)</f>
        <v>-</v>
      </c>
      <c r="I87" s="156" t="str">
        <f>IF(I85=0,"-",I86/I85)</f>
        <v>-</v>
      </c>
      <c r="J87" s="156" t="str">
        <f t="shared" ref="J87:K87" si="29">IF(J85=0,"-",J86/J85)</f>
        <v>-</v>
      </c>
      <c r="K87" s="156" t="str">
        <f t="shared" si="29"/>
        <v>-</v>
      </c>
      <c r="L87" s="71"/>
      <c r="M87" s="10"/>
    </row>
    <row r="88" spans="1:16" hidden="1" x14ac:dyDescent="0.3">
      <c r="B88" s="72"/>
      <c r="C88" s="84"/>
      <c r="D88" s="84"/>
      <c r="E88" s="84"/>
      <c r="F88" s="84"/>
      <c r="G88" s="84"/>
      <c r="H88" s="84"/>
      <c r="I88" s="84"/>
      <c r="J88" s="84"/>
      <c r="K88" s="84"/>
      <c r="L88" s="85"/>
      <c r="M88" s="10"/>
    </row>
    <row r="89" spans="1:16" s="262" customFormat="1" x14ac:dyDescent="0.3">
      <c r="A89" s="7"/>
      <c r="B89" s="263"/>
      <c r="C89" s="263"/>
      <c r="D89" s="90"/>
      <c r="E89" s="261"/>
      <c r="F89" s="261"/>
      <c r="G89" s="261"/>
      <c r="H89" s="261"/>
      <c r="I89" s="261"/>
      <c r="J89" s="261"/>
      <c r="K89" s="261"/>
      <c r="L89" s="261"/>
      <c r="M89" s="73"/>
    </row>
    <row r="90" spans="1:16" x14ac:dyDescent="0.3">
      <c r="B90" s="506" t="str">
        <f>IF(Intro!$G$20="English",O90,P90)</f>
        <v>SALES IN CANADA OF IMPORTS TO THE TOP FIVE ACCOUNTS</v>
      </c>
      <c r="C90" s="507"/>
      <c r="D90" s="507"/>
      <c r="E90" s="507"/>
      <c r="F90" s="507"/>
      <c r="G90" s="507"/>
      <c r="H90" s="507"/>
      <c r="I90" s="507"/>
      <c r="J90" s="507"/>
      <c r="K90" s="507"/>
      <c r="L90" s="508"/>
      <c r="M90" s="10"/>
      <c r="O90" s="107" t="s">
        <v>334</v>
      </c>
      <c r="P90" s="107" t="s">
        <v>433</v>
      </c>
    </row>
    <row r="91" spans="1:16" s="262"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 xml:space="preserve">Report the volume and value of sales of imports in Canada for each account listed below : </v>
      </c>
      <c r="C93" s="504"/>
      <c r="D93" s="504"/>
      <c r="E93" s="504"/>
      <c r="F93" s="504"/>
      <c r="G93" s="504"/>
      <c r="H93" s="504"/>
      <c r="I93" s="504"/>
      <c r="J93" s="504"/>
      <c r="K93" s="504"/>
      <c r="L93" s="505"/>
      <c r="M93" s="10"/>
      <c r="O93" s="18" t="s">
        <v>171</v>
      </c>
      <c r="P93" s="10" t="s">
        <v>172</v>
      </c>
    </row>
    <row r="94" spans="1:16" x14ac:dyDescent="0.3">
      <c r="B94" s="503" t="str">
        <f>Pro!B22</f>
        <v>Note - Only complete this question if your firm sold the goods between January 1, 2023, and March 31, 2026.</v>
      </c>
      <c r="C94" s="504"/>
      <c r="D94" s="504"/>
      <c r="E94" s="504"/>
      <c r="F94" s="504"/>
      <c r="G94" s="504"/>
      <c r="H94" s="504"/>
      <c r="I94" s="504"/>
      <c r="J94" s="504"/>
      <c r="K94" s="504"/>
      <c r="L94" s="505"/>
      <c r="M94" s="10"/>
      <c r="O94" s="18"/>
    </row>
    <row r="95" spans="1:16" x14ac:dyDescent="0.3">
      <c r="B95" s="258"/>
      <c r="C95" s="259"/>
      <c r="D95" s="35"/>
      <c r="E95" s="36"/>
      <c r="F95" s="36"/>
      <c r="G95" s="36"/>
      <c r="H95" s="36"/>
      <c r="I95" s="36"/>
      <c r="J95" s="36"/>
      <c r="K95" s="36"/>
      <c r="L95" s="17"/>
      <c r="M95" s="10"/>
      <c r="O95" s="18"/>
    </row>
    <row r="96" spans="1:16" x14ac:dyDescent="0.3">
      <c r="B96" s="779"/>
      <c r="C96" s="780"/>
      <c r="D96" s="781"/>
      <c r="E96" s="264" t="str">
        <f>IF(Intro!$G$20="English","Q","T")&amp;IF(MID(F96,2,1)&lt;&gt;"1",MID(F96,2,1)-1&amp;" - "&amp;MID(F96,6,4),"4 - "&amp;MID(F96,6,4)-1)</f>
        <v>Q2 - 2024</v>
      </c>
      <c r="F96" s="264" t="str">
        <f>IF(Intro!$G$20="English","Q","T")&amp;IF(MID(G96,2,1)&lt;&gt;"1",MID(G96,2,1)-1&amp;" - "&amp;MID(G96,6,4),"4 - "&amp;MID(G96,6,4)-1)</f>
        <v>Q3 - 2024</v>
      </c>
      <c r="G96" s="264" t="str">
        <f>IF(Intro!$G$20="English","Q","T")&amp;IF(MID(H96,2,1)&lt;&gt;"1",MID(H96,2,1)-1&amp;" - "&amp;MID(H96,6,4),"4 - "&amp;MID(H96,6,4)-1)</f>
        <v>Q4 - 2024</v>
      </c>
      <c r="H96" s="264" t="str">
        <f>IF(Intro!$G$20="English","Q","T")&amp;IF(MID(I96,2,1)&lt;&gt;"1",MID(I96,2,1)-1&amp;" - "&amp;MID(I96,6,4),"4 - "&amp;MID(I96,6,4)-1)</f>
        <v>Q1 - 2025</v>
      </c>
      <c r="I96" s="264" t="str">
        <f>IF(Intro!$G$20="English","Q","T")&amp;IF(MID(J96,2,1)&lt;&gt;"1",MID(J96,2,1)-1&amp;" - "&amp;MID(J96,6,4),"4 - "&amp;MID(J96,6,4)-1)</f>
        <v>Q2 - 2025</v>
      </c>
      <c r="J96" s="264" t="str">
        <f>IF(Intro!$G$20="English","Q","T")&amp;IF(MID(K96,2,1)&lt;&gt;"1",MID(K96,2,1)-1&amp;" - "&amp;MID(K96,6,4),"4 - "&amp;MID(K96,6,4)-1)</f>
        <v>Q3 - 2025</v>
      </c>
      <c r="K96" s="264" t="str">
        <f>IF(Intro!$G$20="English","Q","T")&amp;IF(MID(L96,2,1)&lt;&gt;"1",MID(L96,2,1)-1&amp;" - "&amp;MID(L96,6,4),"4 - "&amp;MID(L96,6,4)-1)</f>
        <v>Q4 - 2025</v>
      </c>
      <c r="L96" s="265" t="str">
        <f>IF(Intro!$G$20="English",Variables!B29&amp;" - ",Variables!C29&amp;" - ")&amp;Variables!B8</f>
        <v>Q1 - 2026</v>
      </c>
      <c r="M96" s="10"/>
      <c r="O96" s="18"/>
    </row>
    <row r="97" spans="2:16" x14ac:dyDescent="0.3">
      <c r="B97" s="766" t="str">
        <f>IF(Intro!$G$20="English",O98,P98)</f>
        <v xml:space="preserve">Account 1 - </v>
      </c>
      <c r="C97" s="767"/>
      <c r="D97" s="767"/>
      <c r="E97" s="767"/>
      <c r="F97" s="767"/>
      <c r="G97" s="767"/>
      <c r="H97" s="767"/>
      <c r="I97" s="767"/>
      <c r="J97" s="767"/>
      <c r="K97" s="767"/>
      <c r="L97" s="768"/>
      <c r="M97" s="10"/>
      <c r="O97" s="18"/>
    </row>
    <row r="98" spans="2:16" x14ac:dyDescent="0.3">
      <c r="B98" s="735" t="str">
        <f>D$31</f>
        <v>tonnes</v>
      </c>
      <c r="C98" s="736"/>
      <c r="D98" s="736"/>
      <c r="E98" s="141"/>
      <c r="F98" s="141"/>
      <c r="G98" s="141"/>
      <c r="H98" s="141"/>
      <c r="I98" s="141"/>
      <c r="J98" s="141"/>
      <c r="K98" s="141"/>
      <c r="L98" s="142"/>
      <c r="M98" s="10"/>
      <c r="O98" s="10" t="str">
        <f>"Account 1 - "&amp;Pro!C119</f>
        <v xml:space="preserve">Account 1 - </v>
      </c>
      <c r="P98" s="10" t="str">
        <f>"Client 1 - "&amp;Pro!C119</f>
        <v xml:space="preserve">Client 1 - </v>
      </c>
    </row>
    <row r="99" spans="2:16" x14ac:dyDescent="0.3">
      <c r="B99" s="735" t="str">
        <f>D$32</f>
        <v>net delivered selling value (CAD)</v>
      </c>
      <c r="C99" s="736"/>
      <c r="D99" s="736"/>
      <c r="E99" s="141"/>
      <c r="F99" s="141"/>
      <c r="G99" s="141"/>
      <c r="H99" s="141"/>
      <c r="I99" s="141"/>
      <c r="J99" s="141"/>
      <c r="K99" s="141"/>
      <c r="L99" s="142"/>
      <c r="M99" s="10"/>
    </row>
    <row r="100" spans="2:16" x14ac:dyDescent="0.3">
      <c r="B100" s="735" t="str">
        <f>D$33</f>
        <v>$ / tonne</v>
      </c>
      <c r="C100" s="736"/>
      <c r="D100" s="736"/>
      <c r="E100" s="289" t="str">
        <f>IF(E98=0,"-",E99/E98)</f>
        <v>-</v>
      </c>
      <c r="F100" s="289" t="str">
        <f t="shared" ref="F100:L100" si="30">IF(F98=0,"-",F99/F98)</f>
        <v>-</v>
      </c>
      <c r="G100" s="289" t="str">
        <f t="shared" si="30"/>
        <v>-</v>
      </c>
      <c r="H100" s="289" t="str">
        <f t="shared" si="30"/>
        <v>-</v>
      </c>
      <c r="I100" s="289" t="str">
        <f t="shared" si="30"/>
        <v>-</v>
      </c>
      <c r="J100" s="289" t="str">
        <f t="shared" si="30"/>
        <v>-</v>
      </c>
      <c r="K100" s="289" t="str">
        <f t="shared" si="30"/>
        <v>-</v>
      </c>
      <c r="L100" s="290" t="str">
        <f t="shared" si="30"/>
        <v>-</v>
      </c>
      <c r="M100" s="10"/>
    </row>
    <row r="101" spans="2:16" x14ac:dyDescent="0.3">
      <c r="B101" s="766" t="str">
        <f>IF(Intro!$G$20="English",O102,P102)</f>
        <v xml:space="preserve">Account 2 - </v>
      </c>
      <c r="C101" s="767"/>
      <c r="D101" s="767"/>
      <c r="E101" s="767"/>
      <c r="F101" s="767"/>
      <c r="G101" s="767"/>
      <c r="H101" s="767"/>
      <c r="I101" s="767"/>
      <c r="J101" s="767"/>
      <c r="K101" s="767"/>
      <c r="L101" s="768"/>
      <c r="M101" s="10"/>
    </row>
    <row r="102" spans="2:16" x14ac:dyDescent="0.3">
      <c r="B102" s="735" t="str">
        <f>D$31</f>
        <v>tonnes</v>
      </c>
      <c r="C102" s="736"/>
      <c r="D102" s="736"/>
      <c r="E102" s="141"/>
      <c r="F102" s="141"/>
      <c r="G102" s="141"/>
      <c r="H102" s="141"/>
      <c r="I102" s="141"/>
      <c r="J102" s="141"/>
      <c r="K102" s="141"/>
      <c r="L102" s="142"/>
      <c r="M102" s="10"/>
      <c r="O102" s="10" t="str">
        <f>"Account 2 - "&amp;Pro!C120</f>
        <v xml:space="preserve">Account 2 - </v>
      </c>
      <c r="P102" s="10" t="str">
        <f>"Client 2 - "&amp;Pro!C120</f>
        <v xml:space="preserve">Client 2 - </v>
      </c>
    </row>
    <row r="103" spans="2:16" x14ac:dyDescent="0.3">
      <c r="B103" s="735" t="str">
        <f>D$32</f>
        <v>net delivered selling value (CAD)</v>
      </c>
      <c r="C103" s="736"/>
      <c r="D103" s="736"/>
      <c r="E103" s="141"/>
      <c r="F103" s="141"/>
      <c r="G103" s="141"/>
      <c r="H103" s="141"/>
      <c r="I103" s="141"/>
      <c r="J103" s="141"/>
      <c r="K103" s="141"/>
      <c r="L103" s="142"/>
      <c r="M103" s="10"/>
    </row>
    <row r="104" spans="2:16" x14ac:dyDescent="0.3">
      <c r="B104" s="735" t="str">
        <f>D$33</f>
        <v>$ / tonne</v>
      </c>
      <c r="C104" s="736"/>
      <c r="D104" s="736"/>
      <c r="E104" s="289" t="str">
        <f>IF(E102=0,"-",E103/E102)</f>
        <v>-</v>
      </c>
      <c r="F104" s="289" t="str">
        <f t="shared" ref="F104:L104" si="31">IF(F102=0,"-",F103/F102)</f>
        <v>-</v>
      </c>
      <c r="G104" s="289" t="str">
        <f t="shared" si="31"/>
        <v>-</v>
      </c>
      <c r="H104" s="289" t="str">
        <f t="shared" si="31"/>
        <v>-</v>
      </c>
      <c r="I104" s="289" t="str">
        <f t="shared" si="31"/>
        <v>-</v>
      </c>
      <c r="J104" s="289" t="str">
        <f t="shared" si="31"/>
        <v>-</v>
      </c>
      <c r="K104" s="289" t="str">
        <f t="shared" si="31"/>
        <v>-</v>
      </c>
      <c r="L104" s="290" t="str">
        <f t="shared" si="31"/>
        <v>-</v>
      </c>
      <c r="M104" s="10"/>
    </row>
    <row r="105" spans="2:16" x14ac:dyDescent="0.3">
      <c r="B105" s="766" t="str">
        <f>IF(Intro!$G$20="English",O106,P106)</f>
        <v xml:space="preserve">Account 3 - </v>
      </c>
      <c r="C105" s="767"/>
      <c r="D105" s="767"/>
      <c r="E105" s="767"/>
      <c r="F105" s="767"/>
      <c r="G105" s="767"/>
      <c r="H105" s="767"/>
      <c r="I105" s="767"/>
      <c r="J105" s="767"/>
      <c r="K105" s="767"/>
      <c r="L105" s="768"/>
      <c r="M105" s="10"/>
    </row>
    <row r="106" spans="2:16" x14ac:dyDescent="0.3">
      <c r="B106" s="735" t="str">
        <f>D$31</f>
        <v>tonnes</v>
      </c>
      <c r="C106" s="736"/>
      <c r="D106" s="736"/>
      <c r="E106" s="141"/>
      <c r="F106" s="141"/>
      <c r="G106" s="141"/>
      <c r="H106" s="141"/>
      <c r="I106" s="141"/>
      <c r="J106" s="141"/>
      <c r="K106" s="141"/>
      <c r="L106" s="142"/>
      <c r="M106" s="10"/>
      <c r="O106" s="10" t="str">
        <f>"Account 3 - "&amp;Pro!C121</f>
        <v xml:space="preserve">Account 3 - </v>
      </c>
      <c r="P106" s="10" t="str">
        <f>"Client 3 - "&amp;Pro!C121</f>
        <v xml:space="preserve">Client 3 - </v>
      </c>
    </row>
    <row r="107" spans="2:16" x14ac:dyDescent="0.3">
      <c r="B107" s="735" t="str">
        <f>D$32</f>
        <v>net delivered selling value (CAD)</v>
      </c>
      <c r="C107" s="736"/>
      <c r="D107" s="736"/>
      <c r="E107" s="141"/>
      <c r="F107" s="141"/>
      <c r="G107" s="141"/>
      <c r="H107" s="141"/>
      <c r="I107" s="141"/>
      <c r="J107" s="141"/>
      <c r="K107" s="141"/>
      <c r="L107" s="142"/>
      <c r="M107" s="10"/>
    </row>
    <row r="108" spans="2:16" x14ac:dyDescent="0.3">
      <c r="B108" s="735" t="str">
        <f>D$33</f>
        <v>$ / tonne</v>
      </c>
      <c r="C108" s="736"/>
      <c r="D108" s="736"/>
      <c r="E108" s="289" t="str">
        <f>IF(E106=0,"-",E107/E106)</f>
        <v>-</v>
      </c>
      <c r="F108" s="289" t="str">
        <f t="shared" ref="F108:L108" si="32">IF(F106=0,"-",F107/F106)</f>
        <v>-</v>
      </c>
      <c r="G108" s="289" t="str">
        <f t="shared" si="32"/>
        <v>-</v>
      </c>
      <c r="H108" s="289" t="str">
        <f t="shared" si="32"/>
        <v>-</v>
      </c>
      <c r="I108" s="289" t="str">
        <f t="shared" si="32"/>
        <v>-</v>
      </c>
      <c r="J108" s="289" t="str">
        <f t="shared" si="32"/>
        <v>-</v>
      </c>
      <c r="K108" s="289" t="str">
        <f t="shared" si="32"/>
        <v>-</v>
      </c>
      <c r="L108" s="290" t="str">
        <f t="shared" si="32"/>
        <v>-</v>
      </c>
      <c r="M108" s="10"/>
    </row>
    <row r="109" spans="2:16" x14ac:dyDescent="0.3">
      <c r="B109" s="766" t="str">
        <f>IF(Intro!$G$20="English",O110,P110)</f>
        <v xml:space="preserve">Account 4 - </v>
      </c>
      <c r="C109" s="767"/>
      <c r="D109" s="767"/>
      <c r="E109" s="767"/>
      <c r="F109" s="767"/>
      <c r="G109" s="767"/>
      <c r="H109" s="767"/>
      <c r="I109" s="767"/>
      <c r="J109" s="767"/>
      <c r="K109" s="767"/>
      <c r="L109" s="768"/>
      <c r="M109" s="10"/>
    </row>
    <row r="110" spans="2:16" x14ac:dyDescent="0.3">
      <c r="B110" s="735" t="str">
        <f>D$31</f>
        <v>tonnes</v>
      </c>
      <c r="C110" s="736"/>
      <c r="D110" s="736"/>
      <c r="E110" s="141"/>
      <c r="F110" s="141"/>
      <c r="G110" s="141"/>
      <c r="H110" s="141"/>
      <c r="I110" s="141"/>
      <c r="J110" s="141"/>
      <c r="K110" s="141"/>
      <c r="L110" s="142"/>
      <c r="M110" s="10"/>
      <c r="O110" s="10" t="str">
        <f>"Account 4 - "&amp;Pro!C122</f>
        <v xml:space="preserve">Account 4 - </v>
      </c>
      <c r="P110" s="10" t="str">
        <f>"Client 4 - "&amp;Pro!C122</f>
        <v xml:space="preserve">Client 4 - </v>
      </c>
    </row>
    <row r="111" spans="2:16" x14ac:dyDescent="0.3">
      <c r="B111" s="735" t="str">
        <f>D$32</f>
        <v>net delivered selling value (CAD)</v>
      </c>
      <c r="C111" s="736"/>
      <c r="D111" s="736"/>
      <c r="E111" s="141"/>
      <c r="F111" s="141"/>
      <c r="G111" s="141"/>
      <c r="H111" s="141"/>
      <c r="I111" s="141"/>
      <c r="J111" s="141"/>
      <c r="K111" s="141"/>
      <c r="L111" s="142"/>
      <c r="M111" s="10"/>
    </row>
    <row r="112" spans="2:16" x14ac:dyDescent="0.3">
      <c r="B112" s="735" t="str">
        <f>D$33</f>
        <v>$ / tonne</v>
      </c>
      <c r="C112" s="736"/>
      <c r="D112" s="736"/>
      <c r="E112" s="289" t="str">
        <f>IF(E110=0,"-",E111/E110)</f>
        <v>-</v>
      </c>
      <c r="F112" s="289" t="str">
        <f t="shared" ref="F112:L112" si="33">IF(F110=0,"-",F111/F110)</f>
        <v>-</v>
      </c>
      <c r="G112" s="289" t="str">
        <f t="shared" si="33"/>
        <v>-</v>
      </c>
      <c r="H112" s="289" t="str">
        <f t="shared" si="33"/>
        <v>-</v>
      </c>
      <c r="I112" s="289" t="str">
        <f t="shared" si="33"/>
        <v>-</v>
      </c>
      <c r="J112" s="289" t="str">
        <f t="shared" si="33"/>
        <v>-</v>
      </c>
      <c r="K112" s="289" t="str">
        <f t="shared" si="33"/>
        <v>-</v>
      </c>
      <c r="L112" s="290" t="str">
        <f t="shared" si="33"/>
        <v>-</v>
      </c>
      <c r="M112" s="10"/>
    </row>
    <row r="113" spans="2:19" x14ac:dyDescent="0.3">
      <c r="B113" s="766" t="str">
        <f>IF(Intro!$G$20="English",O114,P114)</f>
        <v xml:space="preserve">Account 5 - </v>
      </c>
      <c r="C113" s="767"/>
      <c r="D113" s="767"/>
      <c r="E113" s="767"/>
      <c r="F113" s="767"/>
      <c r="G113" s="767"/>
      <c r="H113" s="767"/>
      <c r="I113" s="767"/>
      <c r="J113" s="767"/>
      <c r="K113" s="767"/>
      <c r="L113" s="768"/>
      <c r="M113" s="10"/>
    </row>
    <row r="114" spans="2:19" x14ac:dyDescent="0.3">
      <c r="B114" s="735" t="str">
        <f>D$31</f>
        <v>tonnes</v>
      </c>
      <c r="C114" s="736"/>
      <c r="D114" s="736"/>
      <c r="E114" s="141"/>
      <c r="F114" s="141"/>
      <c r="G114" s="141"/>
      <c r="H114" s="141"/>
      <c r="I114" s="141"/>
      <c r="J114" s="141"/>
      <c r="K114" s="141"/>
      <c r="L114" s="142"/>
      <c r="M114" s="10"/>
      <c r="O114" s="10" t="str">
        <f>"Account 5 - "&amp;Pro!C123</f>
        <v xml:space="preserve">Account 5 - </v>
      </c>
      <c r="P114" s="10" t="str">
        <f>"Client 5 - "&amp;Pro!C123</f>
        <v xml:space="preserve">Client 5 - </v>
      </c>
    </row>
    <row r="115" spans="2:19" x14ac:dyDescent="0.3">
      <c r="B115" s="735" t="str">
        <f>D$32</f>
        <v>net delivered selling value (CAD)</v>
      </c>
      <c r="C115" s="736"/>
      <c r="D115" s="736"/>
      <c r="E115" s="141"/>
      <c r="F115" s="141"/>
      <c r="G115" s="141"/>
      <c r="H115" s="141"/>
      <c r="I115" s="141"/>
      <c r="J115" s="141"/>
      <c r="K115" s="141"/>
      <c r="L115" s="142"/>
      <c r="M115" s="10"/>
    </row>
    <row r="116" spans="2:19" x14ac:dyDescent="0.3">
      <c r="B116" s="735" t="str">
        <f>D$33</f>
        <v>$ / tonne</v>
      </c>
      <c r="C116" s="736"/>
      <c r="D116" s="736"/>
      <c r="E116" s="289" t="str">
        <f>IF(E114=0,"-",E115/E114)</f>
        <v>-</v>
      </c>
      <c r="F116" s="289" t="str">
        <f t="shared" ref="F116:L116" si="34">IF(F114=0,"-",F115/F114)</f>
        <v>-</v>
      </c>
      <c r="G116" s="289" t="str">
        <f t="shared" si="34"/>
        <v>-</v>
      </c>
      <c r="H116" s="289" t="str">
        <f t="shared" si="34"/>
        <v>-</v>
      </c>
      <c r="I116" s="289" t="str">
        <f t="shared" si="34"/>
        <v>-</v>
      </c>
      <c r="J116" s="289" t="str">
        <f t="shared" si="34"/>
        <v>-</v>
      </c>
      <c r="K116" s="289" t="str">
        <f t="shared" si="34"/>
        <v>-</v>
      </c>
      <c r="L116" s="290" t="str">
        <f t="shared" si="34"/>
        <v>-</v>
      </c>
      <c r="M116" s="10"/>
    </row>
    <row r="117" spans="2:19" x14ac:dyDescent="0.3">
      <c r="B117" s="766" t="str">
        <f>IF(Intro!$G$20="English",O118,P118)</f>
        <v xml:space="preserve">Account 6 - </v>
      </c>
      <c r="C117" s="767"/>
      <c r="D117" s="767"/>
      <c r="E117" s="767"/>
      <c r="F117" s="767"/>
      <c r="G117" s="767"/>
      <c r="H117" s="767"/>
      <c r="I117" s="767"/>
      <c r="J117" s="767"/>
      <c r="K117" s="767"/>
      <c r="L117" s="768"/>
      <c r="M117" s="10"/>
    </row>
    <row r="118" spans="2:19" x14ac:dyDescent="0.3">
      <c r="B118" s="735" t="str">
        <f>D$31</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D$32</f>
        <v>net delivered selling value (CAD)</v>
      </c>
      <c r="C119" s="736"/>
      <c r="D119" s="736"/>
      <c r="E119" s="141"/>
      <c r="F119" s="141"/>
      <c r="G119" s="141"/>
      <c r="H119" s="141"/>
      <c r="I119" s="141"/>
      <c r="J119" s="141"/>
      <c r="K119" s="141"/>
      <c r="L119" s="142"/>
      <c r="M119" s="10"/>
    </row>
    <row r="120" spans="2:19" x14ac:dyDescent="0.3">
      <c r="B120" s="735" t="str">
        <f>D$33</f>
        <v>$ / tonne</v>
      </c>
      <c r="C120" s="736"/>
      <c r="D120" s="736"/>
      <c r="E120" s="289" t="str">
        <f>IF(E118=0,"-",E119/E118)</f>
        <v>-</v>
      </c>
      <c r="F120" s="289" t="str">
        <f t="shared" ref="F120:L120" si="35">IF(F118=0,"-",F119/F118)</f>
        <v>-</v>
      </c>
      <c r="G120" s="289" t="str">
        <f t="shared" si="35"/>
        <v>-</v>
      </c>
      <c r="H120" s="289" t="str">
        <f t="shared" si="35"/>
        <v>-</v>
      </c>
      <c r="I120" s="289" t="str">
        <f t="shared" si="35"/>
        <v>-</v>
      </c>
      <c r="J120" s="289" t="str">
        <f t="shared" si="35"/>
        <v>-</v>
      </c>
      <c r="K120" s="289" t="str">
        <f t="shared" si="35"/>
        <v>-</v>
      </c>
      <c r="L120" s="290" t="str">
        <f t="shared" si="35"/>
        <v>-</v>
      </c>
      <c r="M120" s="10"/>
    </row>
    <row r="121" spans="2:19" x14ac:dyDescent="0.3">
      <c r="B121" s="258"/>
      <c r="C121" s="259"/>
      <c r="D121" s="259"/>
      <c r="E121" s="29"/>
      <c r="F121" s="29"/>
      <c r="G121" s="29"/>
      <c r="H121" s="29"/>
      <c r="I121" s="29"/>
      <c r="J121" s="29"/>
      <c r="K121" s="29"/>
      <c r="L121" s="30"/>
      <c r="M121" s="10"/>
    </row>
    <row r="122" spans="2:19" x14ac:dyDescent="0.3">
      <c r="B122" s="503" t="str">
        <f>IF(Intro!$G$20="English",O122,P122)</f>
        <v>In the table below, “Error” means that the total sales to your firm’s top five accounts for that period exceed your firm’s total import sales for that period. Therefore, please modify the above data if necessary.</v>
      </c>
      <c r="C122" s="504"/>
      <c r="D122" s="504"/>
      <c r="E122" s="504"/>
      <c r="F122" s="504"/>
      <c r="G122" s="504"/>
      <c r="H122" s="504"/>
      <c r="I122" s="504"/>
      <c r="J122" s="504"/>
      <c r="K122" s="504"/>
      <c r="L122" s="505"/>
      <c r="M122" s="10"/>
      <c r="O122" s="10" t="s">
        <v>364</v>
      </c>
      <c r="P122" s="10" t="s">
        <v>365</v>
      </c>
      <c r="S122" s="38"/>
    </row>
    <row r="123" spans="2:19" x14ac:dyDescent="0.3">
      <c r="B123" s="503"/>
      <c r="C123" s="504"/>
      <c r="D123" s="504"/>
      <c r="E123" s="504"/>
      <c r="F123" s="504"/>
      <c r="G123" s="504"/>
      <c r="H123" s="504"/>
      <c r="I123" s="504"/>
      <c r="J123" s="504"/>
      <c r="K123" s="504"/>
      <c r="L123" s="505"/>
      <c r="M123" s="10"/>
      <c r="S123" s="38"/>
    </row>
    <row r="124" spans="2:19" x14ac:dyDescent="0.3">
      <c r="B124" s="258"/>
      <c r="C124" s="259"/>
      <c r="D124" s="259"/>
      <c r="E124" s="29"/>
      <c r="F124" s="29"/>
      <c r="G124" s="29"/>
      <c r="H124" s="29"/>
      <c r="I124" s="29"/>
      <c r="J124" s="29"/>
      <c r="K124" s="29"/>
      <c r="L124" s="30"/>
      <c r="M124" s="10"/>
      <c r="S124" s="38"/>
    </row>
    <row r="125" spans="2:19" ht="14.1" customHeight="1" x14ac:dyDescent="0.3">
      <c r="B125" s="756" t="str">
        <f>Variables!D62</f>
        <v>Verification - volume</v>
      </c>
      <c r="C125" s="617"/>
      <c r="D125" s="617"/>
      <c r="E125" s="617"/>
      <c r="F125" s="618"/>
      <c r="G125" s="264">
        <f>H125-1</f>
        <v>2024</v>
      </c>
      <c r="H125" s="264">
        <f>Variables!B8-1</f>
        <v>2025</v>
      </c>
      <c r="I125" s="264" t="str">
        <f>L96</f>
        <v>Q1 - 2026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Okay</v>
      </c>
      <c r="H126" s="232" t="str">
        <f>IF(SUM(H98:K98,H102:K102,H106:K106,H110:K110,H114:K114)&gt;SUM(I37,I53,I69),Variables!$D$63,Variables!$D$64)</f>
        <v>Okay</v>
      </c>
      <c r="I126" s="232" t="str">
        <f>IF(SUM(L98,L102,L106,L110,L114)&gt;SUM(K37,K53,K69),Variables!$D$63,Variables!$D$64)</f>
        <v>Okay</v>
      </c>
      <c r="J126" s="291"/>
      <c r="K126" s="291"/>
      <c r="L126" s="292"/>
      <c r="M126" s="10"/>
    </row>
    <row r="127" spans="2:19" ht="14.1" customHeight="1" x14ac:dyDescent="0.3">
      <c r="B127" s="757" t="str">
        <f>IF(Intro!$G$20="English",O127,P127)</f>
        <v>volume - total sales in Canada of imports to the top five accounts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sales in Canada of imports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Verification - value</v>
      </c>
      <c r="C129" s="764"/>
      <c r="D129" s="764"/>
      <c r="E129" s="764"/>
      <c r="F129" s="765"/>
      <c r="G129" s="264">
        <f>G125</f>
        <v>2024</v>
      </c>
      <c r="H129" s="264">
        <f>H125</f>
        <v>2025</v>
      </c>
      <c r="I129" s="264" t="str">
        <f>I125</f>
        <v>Q1 - 2026</v>
      </c>
      <c r="J129" s="291"/>
      <c r="K129" s="291"/>
      <c r="L129" s="292"/>
      <c r="M129" s="10"/>
    </row>
    <row r="130" spans="1:16" ht="14.1" customHeight="1" x14ac:dyDescent="0.3">
      <c r="B130" s="788" t="str">
        <f>D32</f>
        <v>net delivered selling value (CAD)</v>
      </c>
      <c r="C130" s="789"/>
      <c r="D130" s="789"/>
      <c r="E130" s="789"/>
      <c r="F130" s="790"/>
      <c r="G130" s="232" t="str">
        <f>IF(SUM(E99:G99,E103:G103,E107:G107,E111:G111,E115:G115)&gt;SUM(H38,H54,H70),Variables!$D$63,Variables!$D$64)</f>
        <v>Okay</v>
      </c>
      <c r="H130" s="232" t="str">
        <f>IF(SUM(H99:K99,H103:K103,H107:K107,H111:K111,H115:K115)&gt;SUM(I38,I54,I70),Variables!$D$63,Variables!$D$64)</f>
        <v>Okay</v>
      </c>
      <c r="I130" s="232" t="str">
        <f>IF(SUM(L99,L103,L107,L111,L115)&gt;SUM(K38,K54,K70),Variables!$D$63,Variables!$D$64)</f>
        <v>Okay</v>
      </c>
      <c r="J130" s="291"/>
      <c r="K130" s="291"/>
      <c r="L130" s="292"/>
      <c r="M130" s="10"/>
    </row>
    <row r="131" spans="1:16" ht="14.1" customHeight="1" x14ac:dyDescent="0.3">
      <c r="B131" s="791" t="str">
        <f>IF(Intro!$G$20="English",O131,P131)</f>
        <v>value - total sales in Canada of imports to the top five accounts (Question 2)</v>
      </c>
      <c r="C131" s="792"/>
      <c r="D131" s="792"/>
      <c r="E131" s="792"/>
      <c r="F131" s="793"/>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1" t="str">
        <f>IF(Intro!$G$20="English",O132,P132)</f>
        <v>value - total sales in Canada of imports (Question 1)</v>
      </c>
      <c r="C132" s="792"/>
      <c r="D132" s="792"/>
      <c r="E132" s="792"/>
      <c r="F132" s="793"/>
      <c r="G132" s="232">
        <f>H38</f>
        <v>0</v>
      </c>
      <c r="H132" s="232">
        <f>I38</f>
        <v>0</v>
      </c>
      <c r="I132" s="232">
        <f>K38</f>
        <v>0</v>
      </c>
      <c r="J132" s="291"/>
      <c r="K132" s="291"/>
      <c r="L132" s="292"/>
      <c r="M132" s="10"/>
      <c r="O132" s="10" t="s">
        <v>505</v>
      </c>
      <c r="P132" s="10" t="s">
        <v>503</v>
      </c>
    </row>
    <row r="133" spans="1:16" x14ac:dyDescent="0.3">
      <c r="B133" s="72"/>
      <c r="C133" s="84"/>
      <c r="D133" s="84"/>
      <c r="E133" s="84"/>
      <c r="F133" s="84"/>
      <c r="G133" s="84"/>
      <c r="H133" s="84"/>
      <c r="I133" s="84"/>
      <c r="J133" s="209"/>
      <c r="K133" s="209"/>
      <c r="L133" s="210"/>
      <c r="M133" s="10"/>
    </row>
    <row r="134" spans="1:16" s="262" customFormat="1" x14ac:dyDescent="0.3">
      <c r="A134" s="7"/>
      <c r="B134" s="263"/>
      <c r="C134" s="263"/>
      <c r="D134" s="90"/>
      <c r="E134" s="261"/>
      <c r="F134" s="261"/>
      <c r="G134" s="261"/>
      <c r="H134" s="261"/>
      <c r="I134" s="261"/>
      <c r="J134" s="261"/>
      <c r="K134" s="261"/>
      <c r="L134" s="261"/>
      <c r="M134" s="73"/>
    </row>
    <row r="135" spans="1:16" x14ac:dyDescent="0.3">
      <c r="B135" s="506" t="str">
        <f>IF(Intro!$G$20="English",O135,P135)</f>
        <v>IMPORTS OF BENCHMARK PRODUCTS</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 xml:space="preserve">Report the volume and value of imports for each benchmark product listed below : </v>
      </c>
      <c r="C138" s="504"/>
      <c r="D138" s="504"/>
      <c r="E138" s="504"/>
      <c r="F138" s="504"/>
      <c r="G138" s="504"/>
      <c r="H138" s="504"/>
      <c r="I138" s="504"/>
      <c r="J138" s="504"/>
      <c r="K138" s="504"/>
      <c r="L138" s="505"/>
      <c r="M138" s="10"/>
      <c r="O138" s="18" t="s">
        <v>191</v>
      </c>
      <c r="P138" s="10" t="s">
        <v>192</v>
      </c>
    </row>
    <row r="139" spans="1:16" x14ac:dyDescent="0.3">
      <c r="B139" s="258"/>
      <c r="C139" s="259"/>
      <c r="D139" s="35"/>
      <c r="E139" s="36"/>
      <c r="F139" s="36"/>
      <c r="G139" s="36"/>
      <c r="H139" s="36"/>
      <c r="I139" s="36"/>
      <c r="J139" s="36"/>
      <c r="K139" s="36"/>
      <c r="L139" s="17"/>
      <c r="M139" s="10"/>
      <c r="O139" s="18"/>
    </row>
    <row r="140" spans="1:16" x14ac:dyDescent="0.3">
      <c r="B140" s="779"/>
      <c r="C140" s="780"/>
      <c r="D140" s="781"/>
      <c r="E140" s="264" t="str">
        <f t="shared" ref="E140:L140" si="36">E96</f>
        <v>Q2 - 2024</v>
      </c>
      <c r="F140" s="264" t="str">
        <f t="shared" si="36"/>
        <v>Q3 - 2024</v>
      </c>
      <c r="G140" s="264" t="str">
        <f t="shared" si="36"/>
        <v>Q4 - 2024</v>
      </c>
      <c r="H140" s="264" t="str">
        <f t="shared" si="36"/>
        <v>Q1 - 2025</v>
      </c>
      <c r="I140" s="264" t="str">
        <f t="shared" si="36"/>
        <v>Q2 - 2025</v>
      </c>
      <c r="J140" s="264" t="str">
        <f t="shared" si="36"/>
        <v>Q3 - 2025</v>
      </c>
      <c r="K140" s="264" t="str">
        <f t="shared" si="36"/>
        <v>Q4 - 2025</v>
      </c>
      <c r="L140" s="265" t="str">
        <f t="shared" si="36"/>
        <v>Q1 - 2026</v>
      </c>
      <c r="M140" s="10"/>
      <c r="O140" s="18"/>
    </row>
    <row r="141" spans="1:16" x14ac:dyDescent="0.3">
      <c r="B141" s="772" t="str">
        <f>IF(Intro!$G$20="English",Variables!B30,Variables!C30)</f>
        <v>SAG Balls - 5.0" (125mm) within a 5% tolerance</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D$27</f>
        <v>tonnes</v>
      </c>
      <c r="C143" s="736"/>
      <c r="D143" s="736"/>
      <c r="E143" s="141"/>
      <c r="F143" s="141"/>
      <c r="G143" s="141"/>
      <c r="H143" s="141"/>
      <c r="I143" s="141"/>
      <c r="J143" s="141"/>
      <c r="K143" s="141"/>
      <c r="L143" s="142"/>
      <c r="M143" s="10"/>
    </row>
    <row r="144" spans="1:16" x14ac:dyDescent="0.3">
      <c r="B144" s="735" t="str">
        <f>D$28</f>
        <v>net delivered purchase value (CAD)</v>
      </c>
      <c r="C144" s="736"/>
      <c r="D144" s="736"/>
      <c r="E144" s="141"/>
      <c r="F144" s="141"/>
      <c r="G144" s="141"/>
      <c r="H144" s="141"/>
      <c r="I144" s="141"/>
      <c r="J144" s="141"/>
      <c r="K144" s="141"/>
      <c r="L144" s="142"/>
      <c r="M144" s="10"/>
    </row>
    <row r="145" spans="2:13" x14ac:dyDescent="0.3">
      <c r="B145" s="735" t="str">
        <f>D$29</f>
        <v>$ / tonne</v>
      </c>
      <c r="C145" s="736"/>
      <c r="D145" s="736"/>
      <c r="E145" s="289" t="str">
        <f t="shared" ref="E145:L145" si="37">IF(E143=0,"-",E144/E143)</f>
        <v>-</v>
      </c>
      <c r="F145" s="289" t="str">
        <f t="shared" si="37"/>
        <v>-</v>
      </c>
      <c r="G145" s="289" t="str">
        <f t="shared" si="37"/>
        <v>-</v>
      </c>
      <c r="H145" s="289" t="str">
        <f t="shared" si="37"/>
        <v>-</v>
      </c>
      <c r="I145" s="289" t="str">
        <f t="shared" si="37"/>
        <v>-</v>
      </c>
      <c r="J145" s="289" t="str">
        <f t="shared" si="37"/>
        <v>-</v>
      </c>
      <c r="K145" s="289" t="str">
        <f t="shared" si="37"/>
        <v>-</v>
      </c>
      <c r="L145" s="289" t="str">
        <f t="shared" si="37"/>
        <v>-</v>
      </c>
      <c r="M145" s="10"/>
    </row>
    <row r="146" spans="2:13" x14ac:dyDescent="0.3">
      <c r="B146" s="772" t="str">
        <f>IF(Intro!$G$20="English",Variables!B31,Variables!C31)</f>
        <v>SAG Balls - 5.25" (133mm) within a 5% tolerance</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D$27</f>
        <v>tonnes</v>
      </c>
      <c r="C148" s="736"/>
      <c r="D148" s="736"/>
      <c r="E148" s="141"/>
      <c r="F148" s="141"/>
      <c r="G148" s="141"/>
      <c r="H148" s="141"/>
      <c r="I148" s="141"/>
      <c r="J148" s="141"/>
      <c r="K148" s="141"/>
      <c r="L148" s="142"/>
      <c r="M148" s="10"/>
    </row>
    <row r="149" spans="2:13" x14ac:dyDescent="0.3">
      <c r="B149" s="735" t="str">
        <f>D$28</f>
        <v>net delivered purchase value (CAD)</v>
      </c>
      <c r="C149" s="736"/>
      <c r="D149" s="736"/>
      <c r="E149" s="141"/>
      <c r="F149" s="141"/>
      <c r="G149" s="141"/>
      <c r="H149" s="141"/>
      <c r="I149" s="141"/>
      <c r="J149" s="141"/>
      <c r="K149" s="141"/>
      <c r="L149" s="142"/>
      <c r="M149" s="10"/>
    </row>
    <row r="150" spans="2:13" x14ac:dyDescent="0.3">
      <c r="B150" s="735" t="str">
        <f>D$29</f>
        <v>$ / tonne</v>
      </c>
      <c r="C150" s="736"/>
      <c r="D150" s="736"/>
      <c r="E150" s="289" t="str">
        <f t="shared" ref="E150" si="38">IF(E148=0,"-",E149/E148)</f>
        <v>-</v>
      </c>
      <c r="F150" s="289" t="str">
        <f t="shared" ref="F150" si="39">IF(F148=0,"-",F149/F148)</f>
        <v>-</v>
      </c>
      <c r="G150" s="289" t="str">
        <f t="shared" ref="G150" si="40">IF(G148=0,"-",G149/G148)</f>
        <v>-</v>
      </c>
      <c r="H150" s="289" t="str">
        <f t="shared" ref="H150" si="41">IF(H148=0,"-",H149/H148)</f>
        <v>-</v>
      </c>
      <c r="I150" s="289" t="str">
        <f t="shared" ref="I150" si="42">IF(I148=0,"-",I149/I148)</f>
        <v>-</v>
      </c>
      <c r="J150" s="289" t="str">
        <f t="shared" ref="J150" si="43">IF(J148=0,"-",J149/J148)</f>
        <v>-</v>
      </c>
      <c r="K150" s="289" t="str">
        <f t="shared" ref="K150" si="44">IF(K148=0,"-",K149/K148)</f>
        <v>-</v>
      </c>
      <c r="L150" s="289" t="str">
        <f t="shared" ref="L150" si="45">IF(L148=0,"-",L149/L148)</f>
        <v>-</v>
      </c>
      <c r="M150" s="10"/>
    </row>
    <row r="151" spans="2:13" x14ac:dyDescent="0.3">
      <c r="B151" s="772" t="str">
        <f>IF(Intro!$G$20="English",Variables!B32,Variables!C32)</f>
        <v>Mid-size Balls - 2.5" (65mm) within a 5% tolerance</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D$27</f>
        <v>tonnes</v>
      </c>
      <c r="C153" s="736"/>
      <c r="D153" s="736"/>
      <c r="E153" s="141"/>
      <c r="F153" s="141"/>
      <c r="G153" s="141"/>
      <c r="H153" s="141"/>
      <c r="I153" s="141"/>
      <c r="J153" s="141"/>
      <c r="K153" s="141"/>
      <c r="L153" s="142"/>
      <c r="M153" s="10"/>
    </row>
    <row r="154" spans="2:13" x14ac:dyDescent="0.3">
      <c r="B154" s="735" t="str">
        <f>D$28</f>
        <v>net delivered purchase value (CAD)</v>
      </c>
      <c r="C154" s="736"/>
      <c r="D154" s="736"/>
      <c r="E154" s="141"/>
      <c r="F154" s="141"/>
      <c r="G154" s="141"/>
      <c r="H154" s="141"/>
      <c r="I154" s="141"/>
      <c r="J154" s="141"/>
      <c r="K154" s="141"/>
      <c r="L154" s="142"/>
      <c r="M154" s="10"/>
    </row>
    <row r="155" spans="2:13" x14ac:dyDescent="0.3">
      <c r="B155" s="735" t="str">
        <f>D$29</f>
        <v>$ / tonne</v>
      </c>
      <c r="C155" s="736"/>
      <c r="D155" s="736"/>
      <c r="E155" s="289" t="str">
        <f t="shared" ref="E155" si="46">IF(E153=0,"-",E154/E153)</f>
        <v>-</v>
      </c>
      <c r="F155" s="289" t="str">
        <f t="shared" ref="F155" si="47">IF(F153=0,"-",F154/F153)</f>
        <v>-</v>
      </c>
      <c r="G155" s="289" t="str">
        <f t="shared" ref="G155" si="48">IF(G153=0,"-",G154/G153)</f>
        <v>-</v>
      </c>
      <c r="H155" s="289" t="str">
        <f t="shared" ref="H155" si="49">IF(H153=0,"-",H154/H153)</f>
        <v>-</v>
      </c>
      <c r="I155" s="289" t="str">
        <f t="shared" ref="I155" si="50">IF(I153=0,"-",I154/I153)</f>
        <v>-</v>
      </c>
      <c r="J155" s="289" t="str">
        <f t="shared" ref="J155" si="51">IF(J153=0,"-",J154/J153)</f>
        <v>-</v>
      </c>
      <c r="K155" s="289" t="str">
        <f t="shared" ref="K155" si="52">IF(K153=0,"-",K154/K153)</f>
        <v>-</v>
      </c>
      <c r="L155" s="289" t="str">
        <f t="shared" ref="L155" si="53">IF(L153=0,"-",L154/L153)</f>
        <v>-</v>
      </c>
      <c r="M155" s="10"/>
    </row>
    <row r="156" spans="2:13" x14ac:dyDescent="0.3">
      <c r="B156" s="772" t="str">
        <f>IF(Intro!$G$20="English",Variables!B33,Variables!C33)</f>
        <v>Mid-size Balls - 3.5" (94mm) within a 5% tolerance</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D$27</f>
        <v>tonnes</v>
      </c>
      <c r="C158" s="736"/>
      <c r="D158" s="736"/>
      <c r="E158" s="141"/>
      <c r="F158" s="141"/>
      <c r="G158" s="141"/>
      <c r="H158" s="141"/>
      <c r="I158" s="141"/>
      <c r="J158" s="141"/>
      <c r="K158" s="141"/>
      <c r="L158" s="142"/>
      <c r="M158" s="10"/>
    </row>
    <row r="159" spans="2:13" x14ac:dyDescent="0.3">
      <c r="B159" s="735" t="str">
        <f>D$28</f>
        <v>net delivered purchase value (CAD)</v>
      </c>
      <c r="C159" s="736"/>
      <c r="D159" s="736"/>
      <c r="E159" s="141"/>
      <c r="F159" s="141"/>
      <c r="G159" s="141"/>
      <c r="H159" s="141"/>
      <c r="I159" s="141"/>
      <c r="J159" s="141"/>
      <c r="K159" s="141"/>
      <c r="L159" s="142"/>
      <c r="M159" s="10"/>
    </row>
    <row r="160" spans="2:13" x14ac:dyDescent="0.3">
      <c r="B160" s="735" t="str">
        <f>D$29</f>
        <v>$ / tonne</v>
      </c>
      <c r="C160" s="736"/>
      <c r="D160" s="736"/>
      <c r="E160" s="289" t="str">
        <f t="shared" ref="E160" si="54">IF(E158=0,"-",E159/E158)</f>
        <v>-</v>
      </c>
      <c r="F160" s="289" t="str">
        <f t="shared" ref="F160" si="55">IF(F158=0,"-",F159/F158)</f>
        <v>-</v>
      </c>
      <c r="G160" s="289" t="str">
        <f t="shared" ref="G160" si="56">IF(G158=0,"-",G159/G158)</f>
        <v>-</v>
      </c>
      <c r="H160" s="289" t="str">
        <f t="shared" ref="H160" si="57">IF(H158=0,"-",H159/H158)</f>
        <v>-</v>
      </c>
      <c r="I160" s="289" t="str">
        <f t="shared" ref="I160" si="58">IF(I158=0,"-",I159/I158)</f>
        <v>-</v>
      </c>
      <c r="J160" s="289" t="str">
        <f t="shared" ref="J160" si="59">IF(J158=0,"-",J159/J158)</f>
        <v>-</v>
      </c>
      <c r="K160" s="289" t="str">
        <f t="shared" ref="K160" si="60">IF(K158=0,"-",K159/K158)</f>
        <v>-</v>
      </c>
      <c r="L160" s="289" t="str">
        <f t="shared" ref="L160" si="61">IF(L158=0,"-",L159/L158)</f>
        <v>-</v>
      </c>
      <c r="M160" s="10"/>
    </row>
    <row r="161" spans="2:13" x14ac:dyDescent="0.3">
      <c r="B161" s="772" t="str">
        <f>IF(Intro!$G$20="English",Variables!B34,Variables!C34)</f>
        <v>Regrind Balls - 1.0" (25mm) within a 5% tolerance</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D$27</f>
        <v>tonnes</v>
      </c>
      <c r="C163" s="736"/>
      <c r="D163" s="736"/>
      <c r="E163" s="141"/>
      <c r="F163" s="141"/>
      <c r="G163" s="141"/>
      <c r="H163" s="141"/>
      <c r="I163" s="141"/>
      <c r="J163" s="141"/>
      <c r="K163" s="141"/>
      <c r="L163" s="142"/>
      <c r="M163" s="10"/>
    </row>
    <row r="164" spans="2:13" x14ac:dyDescent="0.3">
      <c r="B164" s="735" t="str">
        <f>D$28</f>
        <v>net delivered purchase value (CAD)</v>
      </c>
      <c r="C164" s="736"/>
      <c r="D164" s="736"/>
      <c r="E164" s="141"/>
      <c r="F164" s="141"/>
      <c r="G164" s="141"/>
      <c r="H164" s="141"/>
      <c r="I164" s="141"/>
      <c r="J164" s="141"/>
      <c r="K164" s="141"/>
      <c r="L164" s="142"/>
      <c r="M164" s="10"/>
    </row>
    <row r="165" spans="2:13" x14ac:dyDescent="0.3">
      <c r="B165" s="735" t="str">
        <f>D$29</f>
        <v>$ / tonne</v>
      </c>
      <c r="C165" s="736"/>
      <c r="D165" s="736"/>
      <c r="E165" s="289" t="str">
        <f t="shared" ref="E165" si="62">IF(E163=0,"-",E164/E163)</f>
        <v>-</v>
      </c>
      <c r="F165" s="289" t="str">
        <f t="shared" ref="F165" si="63">IF(F163=0,"-",F164/F163)</f>
        <v>-</v>
      </c>
      <c r="G165" s="289" t="str">
        <f t="shared" ref="G165" si="64">IF(G163=0,"-",G164/G163)</f>
        <v>-</v>
      </c>
      <c r="H165" s="289" t="str">
        <f t="shared" ref="H165" si="65">IF(H163=0,"-",H164/H163)</f>
        <v>-</v>
      </c>
      <c r="I165" s="289" t="str">
        <f t="shared" ref="I165" si="66">IF(I163=0,"-",I164/I163)</f>
        <v>-</v>
      </c>
      <c r="J165" s="289" t="str">
        <f t="shared" ref="J165" si="67">IF(J163=0,"-",J164/J163)</f>
        <v>-</v>
      </c>
      <c r="K165" s="289" t="str">
        <f t="shared" ref="K165" si="68">IF(K163=0,"-",K164/K163)</f>
        <v>-</v>
      </c>
      <c r="L165" s="289" t="str">
        <f t="shared" ref="L165" si="69">IF(L163=0,"-",L164/L163)</f>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D$27</f>
        <v>tonnes</v>
      </c>
      <c r="C168" s="777"/>
      <c r="D168" s="778"/>
      <c r="E168" s="141"/>
      <c r="F168" s="141"/>
      <c r="G168" s="141"/>
      <c r="H168" s="141"/>
      <c r="I168" s="141"/>
      <c r="J168" s="141"/>
      <c r="K168" s="141"/>
      <c r="L168" s="142"/>
      <c r="M168" s="10"/>
    </row>
    <row r="169" spans="2:13" hidden="1" x14ac:dyDescent="0.3">
      <c r="B169" s="776" t="str">
        <f>D$28</f>
        <v>net delivered purchase value (CAD)</v>
      </c>
      <c r="C169" s="777"/>
      <c r="D169" s="778"/>
      <c r="E169" s="141"/>
      <c r="F169" s="141"/>
      <c r="G169" s="141"/>
      <c r="H169" s="141"/>
      <c r="I169" s="141"/>
      <c r="J169" s="141"/>
      <c r="K169" s="141"/>
      <c r="L169" s="142"/>
      <c r="M169" s="10"/>
    </row>
    <row r="170" spans="2:13" hidden="1" x14ac:dyDescent="0.3">
      <c r="B170" s="776" t="str">
        <f>D$29</f>
        <v>$ / tonne</v>
      </c>
      <c r="C170" s="777"/>
      <c r="D170" s="778"/>
      <c r="E170" s="289" t="str">
        <f t="shared" ref="E170" si="70">IF(E168=0,"-",E169/E168)</f>
        <v>-</v>
      </c>
      <c r="F170" s="289" t="str">
        <f t="shared" ref="F170" si="71">IF(F168=0,"-",F169/F168)</f>
        <v>-</v>
      </c>
      <c r="G170" s="289" t="str">
        <f t="shared" ref="G170" si="72">IF(G168=0,"-",G169/G168)</f>
        <v>-</v>
      </c>
      <c r="H170" s="289" t="str">
        <f t="shared" ref="H170" si="73">IF(H168=0,"-",H169/H168)</f>
        <v>-</v>
      </c>
      <c r="I170" s="289" t="str">
        <f t="shared" ref="I170" si="74">IF(I168=0,"-",I169/I168)</f>
        <v>-</v>
      </c>
      <c r="J170" s="289" t="str">
        <f t="shared" ref="J170" si="75">IF(J168=0,"-",J169/J168)</f>
        <v>-</v>
      </c>
      <c r="K170" s="289" t="str">
        <f t="shared" ref="K170" si="76">IF(K168=0,"-",K169/K168)</f>
        <v>-</v>
      </c>
      <c r="L170" s="289" t="str">
        <f t="shared" ref="L170" si="77">IF(L168=0,"-",L169/L168)</f>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D$27</f>
        <v>tonnes</v>
      </c>
      <c r="C173" s="777"/>
      <c r="D173" s="778"/>
      <c r="E173" s="141"/>
      <c r="F173" s="141"/>
      <c r="G173" s="141"/>
      <c r="H173" s="141"/>
      <c r="I173" s="141"/>
      <c r="J173" s="141"/>
      <c r="K173" s="141"/>
      <c r="L173" s="142"/>
      <c r="M173" s="10"/>
    </row>
    <row r="174" spans="2:13" hidden="1" x14ac:dyDescent="0.3">
      <c r="B174" s="776" t="str">
        <f>D$28</f>
        <v>net delivered purchase value (CAD)</v>
      </c>
      <c r="C174" s="777"/>
      <c r="D174" s="778"/>
      <c r="E174" s="141"/>
      <c r="F174" s="141"/>
      <c r="G174" s="141"/>
      <c r="H174" s="141"/>
      <c r="I174" s="141"/>
      <c r="J174" s="141"/>
      <c r="K174" s="141"/>
      <c r="L174" s="142"/>
      <c r="M174" s="10"/>
    </row>
    <row r="175" spans="2:13" hidden="1" x14ac:dyDescent="0.3">
      <c r="B175" s="776" t="str">
        <f>D$29</f>
        <v>$ / tonne</v>
      </c>
      <c r="C175" s="777"/>
      <c r="D175" s="778"/>
      <c r="E175" s="289" t="str">
        <f t="shared" ref="E175" si="78">IF(E173=0,"-",E174/E173)</f>
        <v>-</v>
      </c>
      <c r="F175" s="289" t="str">
        <f t="shared" ref="F175" si="79">IF(F173=0,"-",F174/F173)</f>
        <v>-</v>
      </c>
      <c r="G175" s="289" t="str">
        <f t="shared" ref="G175" si="80">IF(G173=0,"-",G174/G173)</f>
        <v>-</v>
      </c>
      <c r="H175" s="289" t="str">
        <f t="shared" ref="H175" si="81">IF(H173=0,"-",H174/H173)</f>
        <v>-</v>
      </c>
      <c r="I175" s="289" t="str">
        <f t="shared" ref="I175" si="82">IF(I173=0,"-",I174/I173)</f>
        <v>-</v>
      </c>
      <c r="J175" s="289" t="str">
        <f t="shared" ref="J175" si="83">IF(J173=0,"-",J174/J173)</f>
        <v>-</v>
      </c>
      <c r="K175" s="289" t="str">
        <f t="shared" ref="K175" si="84">IF(K173=0,"-",K174/K173)</f>
        <v>-</v>
      </c>
      <c r="L175" s="289" t="str">
        <f t="shared" ref="L175" si="85">IF(L173=0,"-",L174/L173)</f>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D$27</f>
        <v>tonnes</v>
      </c>
      <c r="C178" s="777"/>
      <c r="D178" s="778"/>
      <c r="E178" s="141"/>
      <c r="F178" s="141"/>
      <c r="G178" s="141"/>
      <c r="H178" s="141"/>
      <c r="I178" s="141"/>
      <c r="J178" s="141"/>
      <c r="K178" s="141"/>
      <c r="L178" s="142"/>
      <c r="M178" s="10"/>
    </row>
    <row r="179" spans="2:19" hidden="1" x14ac:dyDescent="0.3">
      <c r="B179" s="776" t="str">
        <f>D$28</f>
        <v>net delivered purchase value (CAD)</v>
      </c>
      <c r="C179" s="777"/>
      <c r="D179" s="778"/>
      <c r="E179" s="141"/>
      <c r="F179" s="141"/>
      <c r="G179" s="141"/>
      <c r="H179" s="141"/>
      <c r="I179" s="141"/>
      <c r="J179" s="141"/>
      <c r="K179" s="141"/>
      <c r="L179" s="142"/>
      <c r="M179" s="10"/>
    </row>
    <row r="180" spans="2:19" hidden="1" x14ac:dyDescent="0.3">
      <c r="B180" s="776" t="str">
        <f>D$29</f>
        <v>$ / tonne</v>
      </c>
      <c r="C180" s="777"/>
      <c r="D180" s="778"/>
      <c r="E180" s="289" t="str">
        <f t="shared" ref="E180" si="86">IF(E178=0,"-",E179/E178)</f>
        <v>-</v>
      </c>
      <c r="F180" s="289" t="str">
        <f t="shared" ref="F180" si="87">IF(F178=0,"-",F179/F178)</f>
        <v>-</v>
      </c>
      <c r="G180" s="289" t="str">
        <f t="shared" ref="G180" si="88">IF(G178=0,"-",G179/G178)</f>
        <v>-</v>
      </c>
      <c r="H180" s="289" t="str">
        <f t="shared" ref="H180" si="89">IF(H178=0,"-",H179/H178)</f>
        <v>-</v>
      </c>
      <c r="I180" s="289" t="str">
        <f t="shared" ref="I180" si="90">IF(I178=0,"-",I179/I178)</f>
        <v>-</v>
      </c>
      <c r="J180" s="289" t="str">
        <f t="shared" ref="J180" si="91">IF(J178=0,"-",J179/J178)</f>
        <v>-</v>
      </c>
      <c r="K180" s="289" t="str">
        <f t="shared" ref="K180" si="92">IF(K178=0,"-",K179/K178)</f>
        <v>-</v>
      </c>
      <c r="L180" s="289" t="str">
        <f t="shared" ref="L180" si="93">IF(L178=0,"-",L179/L178)</f>
        <v>-</v>
      </c>
      <c r="M180" s="10"/>
    </row>
    <row r="181" spans="2:19" x14ac:dyDescent="0.3">
      <c r="B181" s="258"/>
      <c r="C181" s="259"/>
      <c r="D181" s="259"/>
      <c r="E181" s="29"/>
      <c r="F181" s="29"/>
      <c r="G181" s="29"/>
      <c r="H181" s="29"/>
      <c r="I181" s="29"/>
      <c r="J181" s="29"/>
      <c r="K181" s="29"/>
      <c r="L181" s="30"/>
      <c r="M181" s="10"/>
    </row>
    <row r="182" spans="2:19" x14ac:dyDescent="0.3">
      <c r="B182" s="503" t="str">
        <f>IF(Intro!$G$20="English",O182,P182)</f>
        <v>In the table below, “Error” means that the total imports of your firm's benchmark products exceed your firm's total imports for that period. Therefore, please modify the above data if necessary.</v>
      </c>
      <c r="C182" s="504"/>
      <c r="D182" s="504"/>
      <c r="E182" s="504"/>
      <c r="F182" s="504"/>
      <c r="G182" s="504"/>
      <c r="H182" s="504"/>
      <c r="I182" s="504"/>
      <c r="J182" s="504"/>
      <c r="K182" s="504"/>
      <c r="L182" s="505"/>
      <c r="M182" s="10"/>
      <c r="O182" s="10" t="s">
        <v>366</v>
      </c>
      <c r="P182" s="10" t="s">
        <v>367</v>
      </c>
      <c r="S182" s="38"/>
    </row>
    <row r="183" spans="2:19" x14ac:dyDescent="0.3">
      <c r="B183" s="503"/>
      <c r="C183" s="504"/>
      <c r="D183" s="504"/>
      <c r="E183" s="504"/>
      <c r="F183" s="504"/>
      <c r="G183" s="504"/>
      <c r="H183" s="504"/>
      <c r="I183" s="504"/>
      <c r="J183" s="504"/>
      <c r="K183" s="504"/>
      <c r="L183" s="505"/>
      <c r="M183" s="10"/>
      <c r="S183" s="38"/>
    </row>
    <row r="184" spans="2:19" x14ac:dyDescent="0.3">
      <c r="B184" s="258"/>
      <c r="C184" s="259"/>
      <c r="D184" s="259"/>
      <c r="E184" s="29"/>
      <c r="F184" s="29"/>
      <c r="G184" s="29"/>
      <c r="H184" s="29"/>
      <c r="I184" s="29"/>
      <c r="J184" s="29"/>
      <c r="K184" s="29"/>
      <c r="L184" s="30"/>
      <c r="M184" s="10"/>
      <c r="S184" s="38"/>
    </row>
    <row r="185" spans="2:19" ht="14.1" customHeight="1" x14ac:dyDescent="0.3">
      <c r="B185" s="763" t="str">
        <f>Variables!D62</f>
        <v>Verification - volume</v>
      </c>
      <c r="C185" s="764"/>
      <c r="D185" s="764"/>
      <c r="E185" s="764"/>
      <c r="F185" s="765"/>
      <c r="G185" s="264">
        <f>G125</f>
        <v>2024</v>
      </c>
      <c r="H185" s="264">
        <f>H125</f>
        <v>2025</v>
      </c>
      <c r="I185" s="264" t="str">
        <f>I125</f>
        <v>Q1 - 2026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Okay</v>
      </c>
      <c r="H186" s="232" t="str">
        <f>IF(SUM(H143:K143,H148:K148,H153:K153,H158:K158,H163:K163,H168:K168,H173:K173,H178:K178)&gt;SUM(I27,I43,I59),Variables!$D$63,Variables!$D$64)</f>
        <v>Okay</v>
      </c>
      <c r="I186" s="232" t="str">
        <f>IF(SUM(L143,L148,L153,L158,L163,L168,L173,L178)&gt;SUM(K27,K43,K59),Variables!$D$63,Variables!$D$64)</f>
        <v>Okay</v>
      </c>
      <c r="J186" s="291"/>
      <c r="K186" s="291"/>
      <c r="L186" s="292"/>
      <c r="M186" s="10"/>
    </row>
    <row r="187" spans="2:19" ht="14.1" customHeight="1" x14ac:dyDescent="0.3">
      <c r="B187" s="783" t="str">
        <f>IF(Intro!$G$20="English",O187,P187)</f>
        <v>volume - total imports of benchmark products (Question 3)</v>
      </c>
      <c r="C187" s="784"/>
      <c r="D187" s="784"/>
      <c r="E187" s="784"/>
      <c r="F187" s="785"/>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3" t="str">
        <f>IF(Intro!$G$20="English",O188,P188)</f>
        <v>volume - total imports (Question 1)</v>
      </c>
      <c r="C188" s="784"/>
      <c r="D188" s="784"/>
      <c r="E188" s="784"/>
      <c r="F188" s="785"/>
      <c r="G188" s="232">
        <f>H27</f>
        <v>0</v>
      </c>
      <c r="H188" s="232">
        <f>I27</f>
        <v>0</v>
      </c>
      <c r="I188" s="232">
        <f>K27</f>
        <v>0</v>
      </c>
      <c r="J188" s="291"/>
      <c r="K188" s="291"/>
      <c r="L188" s="292"/>
      <c r="M188" s="10"/>
      <c r="O188" s="10" t="s">
        <v>493</v>
      </c>
      <c r="P188" s="10" t="s">
        <v>494</v>
      </c>
    </row>
    <row r="189" spans="2:19" x14ac:dyDescent="0.3">
      <c r="B189" s="763" t="str">
        <f>Variables!D66</f>
        <v>Verification - value</v>
      </c>
      <c r="C189" s="764"/>
      <c r="D189" s="764"/>
      <c r="E189" s="764"/>
      <c r="F189" s="765"/>
      <c r="G189" s="264">
        <f>G185</f>
        <v>2024</v>
      </c>
      <c r="H189" s="264">
        <f>H185</f>
        <v>2025</v>
      </c>
      <c r="I189" s="264" t="str">
        <f>I185</f>
        <v>Q1 - 2026</v>
      </c>
      <c r="J189" s="291"/>
      <c r="K189" s="291"/>
      <c r="L189" s="292"/>
      <c r="M189" s="10"/>
    </row>
    <row r="190" spans="2:19" ht="14.1" customHeight="1" x14ac:dyDescent="0.3">
      <c r="B190" s="776" t="str">
        <f>B144</f>
        <v>net delivered purchase value (CAD)</v>
      </c>
      <c r="C190" s="777"/>
      <c r="D190" s="777"/>
      <c r="E190" s="777"/>
      <c r="F190" s="778"/>
      <c r="G190" s="232" t="str">
        <f>IF(SUM(E144:G144,E149:G149,E154:G154,E159:G159,E164:G164,E169:G169,E174:G174,E179:G179)&gt;SUM(H28,H44,H60),Variables!$D$63,Variables!$D$64)</f>
        <v>Okay</v>
      </c>
      <c r="H190" s="232" t="str">
        <f>IF(SUM(H144:K144,H149:K149,H154:K154,H159:K159,H164:K164,H169:K169,H174:K174,H179:K179)&gt;SUM(I28,I44,I60),Variables!$D$63,Variables!$D$64)</f>
        <v>Okay</v>
      </c>
      <c r="I190" s="232" t="str">
        <f>IF(SUM(L144,L149,L154,L159,L164,L169,L174,L179)&gt;SUM(K28,K44,K60),Variables!$D$63,Variables!$D$64)</f>
        <v>Okay</v>
      </c>
      <c r="J190" s="291"/>
      <c r="K190" s="291"/>
      <c r="L190" s="292"/>
      <c r="M190" s="10"/>
    </row>
    <row r="191" spans="2:19" ht="14.1" customHeight="1" x14ac:dyDescent="0.3">
      <c r="B191" s="783" t="str">
        <f>IF(Intro!$G$20="English",O191,P191)</f>
        <v>value - total imports of benchmark products (Question 3)</v>
      </c>
      <c r="C191" s="784"/>
      <c r="D191" s="784"/>
      <c r="E191" s="784"/>
      <c r="F191" s="785"/>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3" t="str">
        <f>IF(Intro!$G$20="English",O192,P192)</f>
        <v>value - total imports (Question 1)</v>
      </c>
      <c r="C192" s="784"/>
      <c r="D192" s="784"/>
      <c r="E192" s="784"/>
      <c r="F192" s="785"/>
      <c r="G192" s="232">
        <f>H28</f>
        <v>0</v>
      </c>
      <c r="H192" s="232">
        <f>I28</f>
        <v>0</v>
      </c>
      <c r="I192" s="232">
        <f>K28</f>
        <v>0</v>
      </c>
      <c r="J192" s="291"/>
      <c r="K192" s="291"/>
      <c r="L192" s="292"/>
      <c r="M192" s="10"/>
      <c r="O192" s="10" t="s">
        <v>571</v>
      </c>
      <c r="P192" s="10" t="s">
        <v>497</v>
      </c>
    </row>
    <row r="193" spans="1:16" x14ac:dyDescent="0.3">
      <c r="B193" s="72"/>
      <c r="C193" s="84"/>
      <c r="D193" s="84"/>
      <c r="E193" s="84"/>
      <c r="F193" s="84"/>
      <c r="G193" s="84"/>
      <c r="H193" s="84"/>
      <c r="I193" s="84"/>
      <c r="J193" s="84"/>
      <c r="K193" s="84"/>
      <c r="L193" s="85"/>
      <c r="M193" s="10"/>
    </row>
    <row r="194" spans="1:16" s="262" customFormat="1" x14ac:dyDescent="0.3">
      <c r="A194" s="7"/>
      <c r="B194" s="92"/>
      <c r="C194" s="92"/>
      <c r="D194" s="90"/>
      <c r="E194" s="261"/>
      <c r="F194" s="261"/>
      <c r="G194" s="261"/>
      <c r="H194" s="261"/>
      <c r="I194" s="261"/>
      <c r="J194" s="261"/>
      <c r="K194" s="261"/>
      <c r="L194" s="261"/>
      <c r="M194" s="73"/>
    </row>
    <row r="195" spans="1:16" x14ac:dyDescent="0.3">
      <c r="B195" s="506" t="str">
        <f>IF(Intro!$G$20="English",O195,P195)</f>
        <v>SALES IN CANADA OF IMPORTS OF BENCHMARK PRODUCTS</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 xml:space="preserve">Report the volume and value of sales of imports in Canada for each benchmark product listed below : </v>
      </c>
      <c r="C198" s="504"/>
      <c r="D198" s="504"/>
      <c r="E198" s="504"/>
      <c r="F198" s="504"/>
      <c r="G198" s="504"/>
      <c r="H198" s="504"/>
      <c r="I198" s="504"/>
      <c r="J198" s="504"/>
      <c r="K198" s="504"/>
      <c r="L198" s="505"/>
      <c r="M198" s="10"/>
      <c r="O198" s="18" t="s">
        <v>170</v>
      </c>
      <c r="P198" s="10" t="s">
        <v>435</v>
      </c>
    </row>
    <row r="199" spans="1:16" x14ac:dyDescent="0.3">
      <c r="B199" s="503" t="str">
        <f>Pro!B22</f>
        <v>Note - Only complete this question if your firm sold the goods between January 1, 2023, and March 31, 2026.</v>
      </c>
      <c r="C199" s="504"/>
      <c r="D199" s="504"/>
      <c r="E199" s="504"/>
      <c r="F199" s="504"/>
      <c r="G199" s="504"/>
      <c r="H199" s="504"/>
      <c r="I199" s="504"/>
      <c r="J199" s="504"/>
      <c r="K199" s="504"/>
      <c r="L199" s="505"/>
      <c r="M199" s="10"/>
      <c r="O199" s="18"/>
    </row>
    <row r="200" spans="1:16" x14ac:dyDescent="0.3">
      <c r="B200" s="258"/>
      <c r="C200" s="259"/>
      <c r="D200" s="35"/>
      <c r="E200" s="36"/>
      <c r="F200" s="36"/>
      <c r="G200" s="36"/>
      <c r="H200" s="36"/>
      <c r="I200" s="36"/>
      <c r="J200" s="36"/>
      <c r="K200" s="36"/>
      <c r="L200" s="17"/>
      <c r="M200" s="10"/>
      <c r="O200" s="18"/>
    </row>
    <row r="201" spans="1:16" x14ac:dyDescent="0.3">
      <c r="B201" s="779"/>
      <c r="C201" s="780"/>
      <c r="D201" s="781"/>
      <c r="E201" s="264" t="str">
        <f t="shared" ref="E201:L201" si="94">E140</f>
        <v>Q2 - 2024</v>
      </c>
      <c r="F201" s="264" t="str">
        <f t="shared" si="94"/>
        <v>Q3 - 2024</v>
      </c>
      <c r="G201" s="264" t="str">
        <f t="shared" si="94"/>
        <v>Q4 - 2024</v>
      </c>
      <c r="H201" s="264" t="str">
        <f t="shared" si="94"/>
        <v>Q1 - 2025</v>
      </c>
      <c r="I201" s="264" t="str">
        <f t="shared" si="94"/>
        <v>Q2 - 2025</v>
      </c>
      <c r="J201" s="264" t="str">
        <f t="shared" si="94"/>
        <v>Q3 - 2025</v>
      </c>
      <c r="K201" s="264" t="str">
        <f t="shared" si="94"/>
        <v>Q4 - 2025</v>
      </c>
      <c r="L201" s="265" t="str">
        <f t="shared" si="94"/>
        <v>Q1 - 2026</v>
      </c>
      <c r="M201" s="10"/>
      <c r="O201" s="18"/>
    </row>
    <row r="202" spans="1:16" x14ac:dyDescent="0.3">
      <c r="B202" s="772" t="str">
        <f>B141</f>
        <v>SAG Balls - 5.0" (125mm) within a 5% tolerance</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D$31</f>
        <v>tonnes</v>
      </c>
      <c r="C204" s="736"/>
      <c r="D204" s="736"/>
      <c r="E204" s="141"/>
      <c r="F204" s="141"/>
      <c r="G204" s="141"/>
      <c r="H204" s="141"/>
      <c r="I204" s="141"/>
      <c r="J204" s="141"/>
      <c r="K204" s="141"/>
      <c r="L204" s="142"/>
      <c r="M204" s="10"/>
    </row>
    <row r="205" spans="1:16" x14ac:dyDescent="0.3">
      <c r="B205" s="735" t="str">
        <f>D$32</f>
        <v>net delivered selling value (CAD)</v>
      </c>
      <c r="C205" s="736"/>
      <c r="D205" s="736"/>
      <c r="E205" s="141"/>
      <c r="F205" s="141"/>
      <c r="G205" s="141"/>
      <c r="H205" s="141"/>
      <c r="I205" s="141"/>
      <c r="J205" s="141"/>
      <c r="K205" s="141"/>
      <c r="L205" s="142"/>
      <c r="M205" s="10"/>
    </row>
    <row r="206" spans="1:16" x14ac:dyDescent="0.3">
      <c r="B206" s="735" t="str">
        <f>D$33</f>
        <v>$ / tonne</v>
      </c>
      <c r="C206" s="736"/>
      <c r="D206" s="736"/>
      <c r="E206" s="289" t="str">
        <f t="shared" ref="E206" si="95">IF(E204=0,"-",E205/E204)</f>
        <v>-</v>
      </c>
      <c r="F206" s="289" t="str">
        <f t="shared" ref="F206" si="96">IF(F204=0,"-",F205/F204)</f>
        <v>-</v>
      </c>
      <c r="G206" s="289" t="str">
        <f t="shared" ref="G206" si="97">IF(G204=0,"-",G205/G204)</f>
        <v>-</v>
      </c>
      <c r="H206" s="289" t="str">
        <f t="shared" ref="H206" si="98">IF(H204=0,"-",H205/H204)</f>
        <v>-</v>
      </c>
      <c r="I206" s="289" t="str">
        <f t="shared" ref="I206" si="99">IF(I204=0,"-",I205/I204)</f>
        <v>-</v>
      </c>
      <c r="J206" s="289" t="str">
        <f t="shared" ref="J206" si="100">IF(J204=0,"-",J205/J204)</f>
        <v>-</v>
      </c>
      <c r="K206" s="289" t="str">
        <f t="shared" ref="K206" si="101">IF(K204=0,"-",K205/K204)</f>
        <v>-</v>
      </c>
      <c r="L206" s="289" t="str">
        <f t="shared" ref="L206" si="102">IF(L204=0,"-",L205/L204)</f>
        <v>-</v>
      </c>
      <c r="M206" s="10"/>
    </row>
    <row r="207" spans="1:16" x14ac:dyDescent="0.3">
      <c r="B207" s="772" t="str">
        <f>B146</f>
        <v>SAG Balls - 5.25" (133mm) within a 5% tolerance</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D$31</f>
        <v>tonnes</v>
      </c>
      <c r="C209" s="736"/>
      <c r="D209" s="736"/>
      <c r="E209" s="141"/>
      <c r="F209" s="141"/>
      <c r="G209" s="141"/>
      <c r="H209" s="141"/>
      <c r="I209" s="141"/>
      <c r="J209" s="141"/>
      <c r="K209" s="141"/>
      <c r="L209" s="142"/>
      <c r="M209" s="10"/>
    </row>
    <row r="210" spans="2:13" x14ac:dyDescent="0.3">
      <c r="B210" s="735" t="str">
        <f>D$32</f>
        <v>net delivered selling value (CAD)</v>
      </c>
      <c r="C210" s="736"/>
      <c r="D210" s="736"/>
      <c r="E210" s="141"/>
      <c r="F210" s="141"/>
      <c r="G210" s="141"/>
      <c r="H210" s="141"/>
      <c r="I210" s="141"/>
      <c r="J210" s="141"/>
      <c r="K210" s="141"/>
      <c r="L210" s="142"/>
      <c r="M210" s="10"/>
    </row>
    <row r="211" spans="2:13" x14ac:dyDescent="0.3">
      <c r="B211" s="735" t="str">
        <f>D$33</f>
        <v>$ / tonne</v>
      </c>
      <c r="C211" s="736"/>
      <c r="D211" s="736"/>
      <c r="E211" s="289" t="str">
        <f t="shared" ref="E211" si="103">IF(E209=0,"-",E210/E209)</f>
        <v>-</v>
      </c>
      <c r="F211" s="289" t="str">
        <f t="shared" ref="F211" si="104">IF(F209=0,"-",F210/F209)</f>
        <v>-</v>
      </c>
      <c r="G211" s="289" t="str">
        <f t="shared" ref="G211" si="105">IF(G209=0,"-",G210/G209)</f>
        <v>-</v>
      </c>
      <c r="H211" s="289" t="str">
        <f t="shared" ref="H211" si="106">IF(H209=0,"-",H210/H209)</f>
        <v>-</v>
      </c>
      <c r="I211" s="289" t="str">
        <f t="shared" ref="I211" si="107">IF(I209=0,"-",I210/I209)</f>
        <v>-</v>
      </c>
      <c r="J211" s="289" t="str">
        <f t="shared" ref="J211" si="108">IF(J209=0,"-",J210/J209)</f>
        <v>-</v>
      </c>
      <c r="K211" s="289" t="str">
        <f t="shared" ref="K211" si="109">IF(K209=0,"-",K210/K209)</f>
        <v>-</v>
      </c>
      <c r="L211" s="289" t="str">
        <f t="shared" ref="L211" si="110">IF(L209=0,"-",L210/L209)</f>
        <v>-</v>
      </c>
      <c r="M211" s="10"/>
    </row>
    <row r="212" spans="2:13" x14ac:dyDescent="0.3">
      <c r="B212" s="772" t="str">
        <f>B151</f>
        <v>Mid-size Balls - 2.5" (65mm) within a 5% tolerance</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D$31</f>
        <v>tonnes</v>
      </c>
      <c r="C214" s="736"/>
      <c r="D214" s="736"/>
      <c r="E214" s="141"/>
      <c r="F214" s="141"/>
      <c r="G214" s="141"/>
      <c r="H214" s="141"/>
      <c r="I214" s="141"/>
      <c r="J214" s="141"/>
      <c r="K214" s="141"/>
      <c r="L214" s="142"/>
      <c r="M214" s="10"/>
    </row>
    <row r="215" spans="2:13" x14ac:dyDescent="0.3">
      <c r="B215" s="735" t="str">
        <f>D$32</f>
        <v>net delivered selling value (CAD)</v>
      </c>
      <c r="C215" s="736"/>
      <c r="D215" s="736"/>
      <c r="E215" s="141"/>
      <c r="F215" s="141"/>
      <c r="G215" s="141"/>
      <c r="H215" s="141"/>
      <c r="I215" s="141"/>
      <c r="J215" s="141"/>
      <c r="K215" s="141"/>
      <c r="L215" s="142"/>
      <c r="M215" s="10"/>
    </row>
    <row r="216" spans="2:13" x14ac:dyDescent="0.3">
      <c r="B216" s="735" t="str">
        <f>D$33</f>
        <v>$ / tonne</v>
      </c>
      <c r="C216" s="736"/>
      <c r="D216" s="736"/>
      <c r="E216" s="289" t="str">
        <f t="shared" ref="E216" si="111">IF(E214=0,"-",E215/E214)</f>
        <v>-</v>
      </c>
      <c r="F216" s="289" t="str">
        <f t="shared" ref="F216" si="112">IF(F214=0,"-",F215/F214)</f>
        <v>-</v>
      </c>
      <c r="G216" s="289" t="str">
        <f t="shared" ref="G216" si="113">IF(G214=0,"-",G215/G214)</f>
        <v>-</v>
      </c>
      <c r="H216" s="289" t="str">
        <f t="shared" ref="H216" si="114">IF(H214=0,"-",H215/H214)</f>
        <v>-</v>
      </c>
      <c r="I216" s="289" t="str">
        <f t="shared" ref="I216" si="115">IF(I214=0,"-",I215/I214)</f>
        <v>-</v>
      </c>
      <c r="J216" s="289" t="str">
        <f t="shared" ref="J216" si="116">IF(J214=0,"-",J215/J214)</f>
        <v>-</v>
      </c>
      <c r="K216" s="289" t="str">
        <f t="shared" ref="K216" si="117">IF(K214=0,"-",K215/K214)</f>
        <v>-</v>
      </c>
      <c r="L216" s="289" t="str">
        <f t="shared" ref="L216" si="118">IF(L214=0,"-",L215/L214)</f>
        <v>-</v>
      </c>
      <c r="M216" s="10"/>
    </row>
    <row r="217" spans="2:13" x14ac:dyDescent="0.3">
      <c r="B217" s="772" t="str">
        <f>B156</f>
        <v>Mid-size Balls - 3.5" (94mm) within a 5% tolerance</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D$31</f>
        <v>tonnes</v>
      </c>
      <c r="C219" s="736"/>
      <c r="D219" s="736"/>
      <c r="E219" s="141"/>
      <c r="F219" s="141"/>
      <c r="G219" s="141"/>
      <c r="H219" s="141"/>
      <c r="I219" s="141"/>
      <c r="J219" s="141"/>
      <c r="K219" s="141"/>
      <c r="L219" s="142"/>
      <c r="M219" s="10"/>
    </row>
    <row r="220" spans="2:13" x14ac:dyDescent="0.3">
      <c r="B220" s="735" t="str">
        <f>D$32</f>
        <v>net delivered selling value (CAD)</v>
      </c>
      <c r="C220" s="736"/>
      <c r="D220" s="736"/>
      <c r="E220" s="141"/>
      <c r="F220" s="141"/>
      <c r="G220" s="141"/>
      <c r="H220" s="141"/>
      <c r="I220" s="141"/>
      <c r="J220" s="141"/>
      <c r="K220" s="141"/>
      <c r="L220" s="142"/>
      <c r="M220" s="10"/>
    </row>
    <row r="221" spans="2:13" x14ac:dyDescent="0.3">
      <c r="B221" s="735" t="str">
        <f>D$33</f>
        <v>$ / tonne</v>
      </c>
      <c r="C221" s="736"/>
      <c r="D221" s="736"/>
      <c r="E221" s="289" t="str">
        <f t="shared" ref="E221" si="119">IF(E219=0,"-",E220/E219)</f>
        <v>-</v>
      </c>
      <c r="F221" s="289" t="str">
        <f t="shared" ref="F221" si="120">IF(F219=0,"-",F220/F219)</f>
        <v>-</v>
      </c>
      <c r="G221" s="289" t="str">
        <f t="shared" ref="G221" si="121">IF(G219=0,"-",G220/G219)</f>
        <v>-</v>
      </c>
      <c r="H221" s="289" t="str">
        <f t="shared" ref="H221" si="122">IF(H219=0,"-",H220/H219)</f>
        <v>-</v>
      </c>
      <c r="I221" s="289" t="str">
        <f t="shared" ref="I221" si="123">IF(I219=0,"-",I220/I219)</f>
        <v>-</v>
      </c>
      <c r="J221" s="289" t="str">
        <f t="shared" ref="J221" si="124">IF(J219=0,"-",J220/J219)</f>
        <v>-</v>
      </c>
      <c r="K221" s="289" t="str">
        <f t="shared" ref="K221" si="125">IF(K219=0,"-",K220/K219)</f>
        <v>-</v>
      </c>
      <c r="L221" s="289" t="str">
        <f t="shared" ref="L221" si="126">IF(L219=0,"-",L220/L219)</f>
        <v>-</v>
      </c>
      <c r="M221" s="10"/>
    </row>
    <row r="222" spans="2:13" x14ac:dyDescent="0.3">
      <c r="B222" s="772" t="str">
        <f>B161</f>
        <v>Regrind Balls - 1.0" (25mm) within a 5% tolerance</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D$31</f>
        <v>tonnes</v>
      </c>
      <c r="C224" s="736"/>
      <c r="D224" s="736"/>
      <c r="E224" s="141"/>
      <c r="F224" s="141"/>
      <c r="G224" s="141"/>
      <c r="H224" s="141"/>
      <c r="I224" s="141"/>
      <c r="J224" s="141"/>
      <c r="K224" s="141"/>
      <c r="L224" s="142"/>
      <c r="M224" s="10"/>
    </row>
    <row r="225" spans="2:13" x14ac:dyDescent="0.3">
      <c r="B225" s="735" t="str">
        <f>D$32</f>
        <v>net delivered selling value (CAD)</v>
      </c>
      <c r="C225" s="736"/>
      <c r="D225" s="736"/>
      <c r="E225" s="141"/>
      <c r="F225" s="141"/>
      <c r="G225" s="141"/>
      <c r="H225" s="141"/>
      <c r="I225" s="141"/>
      <c r="J225" s="141"/>
      <c r="K225" s="141"/>
      <c r="L225" s="142"/>
      <c r="M225" s="10"/>
    </row>
    <row r="226" spans="2:13" x14ac:dyDescent="0.3">
      <c r="B226" s="735" t="str">
        <f>D$33</f>
        <v>$ / tonne</v>
      </c>
      <c r="C226" s="736"/>
      <c r="D226" s="736"/>
      <c r="E226" s="289" t="str">
        <f t="shared" ref="E226" si="127">IF(E224=0,"-",E225/E224)</f>
        <v>-</v>
      </c>
      <c r="F226" s="289" t="str">
        <f t="shared" ref="F226" si="128">IF(F224=0,"-",F225/F224)</f>
        <v>-</v>
      </c>
      <c r="G226" s="289" t="str">
        <f t="shared" ref="G226" si="129">IF(G224=0,"-",G225/G224)</f>
        <v>-</v>
      </c>
      <c r="H226" s="289" t="str">
        <f t="shared" ref="H226" si="130">IF(H224=0,"-",H225/H224)</f>
        <v>-</v>
      </c>
      <c r="I226" s="289" t="str">
        <f t="shared" ref="I226" si="131">IF(I224=0,"-",I225/I224)</f>
        <v>-</v>
      </c>
      <c r="J226" s="289" t="str">
        <f t="shared" ref="J226" si="132">IF(J224=0,"-",J225/J224)</f>
        <v>-</v>
      </c>
      <c r="K226" s="289" t="str">
        <f t="shared" ref="K226" si="133">IF(K224=0,"-",K225/K224)</f>
        <v>-</v>
      </c>
      <c r="L226" s="289" t="str">
        <f t="shared" ref="L226" si="134">IF(L224=0,"-",L225/L224)</f>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D$31</f>
        <v>tonnes</v>
      </c>
      <c r="C229" s="736"/>
      <c r="D229" s="736"/>
      <c r="E229" s="141"/>
      <c r="F229" s="141"/>
      <c r="G229" s="141"/>
      <c r="H229" s="141"/>
      <c r="I229" s="141"/>
      <c r="J229" s="141"/>
      <c r="K229" s="141"/>
      <c r="L229" s="142"/>
      <c r="M229" s="10"/>
    </row>
    <row r="230" spans="2:13" hidden="1" x14ac:dyDescent="0.3">
      <c r="B230" s="735" t="str">
        <f>D$32</f>
        <v>net delivered selling value (CAD)</v>
      </c>
      <c r="C230" s="736"/>
      <c r="D230" s="736"/>
      <c r="E230" s="141"/>
      <c r="F230" s="141"/>
      <c r="G230" s="141"/>
      <c r="H230" s="141"/>
      <c r="I230" s="141"/>
      <c r="J230" s="141"/>
      <c r="K230" s="141"/>
      <c r="L230" s="142"/>
      <c r="M230" s="10"/>
    </row>
    <row r="231" spans="2:13" hidden="1" x14ac:dyDescent="0.3">
      <c r="B231" s="735" t="str">
        <f>D$33</f>
        <v>$ / tonne</v>
      </c>
      <c r="C231" s="736"/>
      <c r="D231" s="736"/>
      <c r="E231" s="289" t="str">
        <f t="shared" ref="E231" si="135">IF(E229=0,"-",E230/E229)</f>
        <v>-</v>
      </c>
      <c r="F231" s="289" t="str">
        <f t="shared" ref="F231" si="136">IF(F229=0,"-",F230/F229)</f>
        <v>-</v>
      </c>
      <c r="G231" s="289" t="str">
        <f t="shared" ref="G231" si="137">IF(G229=0,"-",G230/G229)</f>
        <v>-</v>
      </c>
      <c r="H231" s="289" t="str">
        <f t="shared" ref="H231" si="138">IF(H229=0,"-",H230/H229)</f>
        <v>-</v>
      </c>
      <c r="I231" s="289" t="str">
        <f t="shared" ref="I231" si="139">IF(I229=0,"-",I230/I229)</f>
        <v>-</v>
      </c>
      <c r="J231" s="289" t="str">
        <f t="shared" ref="J231" si="140">IF(J229=0,"-",J230/J229)</f>
        <v>-</v>
      </c>
      <c r="K231" s="289" t="str">
        <f t="shared" ref="K231" si="141">IF(K229=0,"-",K230/K229)</f>
        <v>-</v>
      </c>
      <c r="L231" s="289" t="str">
        <f t="shared" ref="L231" si="142">IF(L229=0,"-",L230/L229)</f>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D$31</f>
        <v>tonnes</v>
      </c>
      <c r="C234" s="736"/>
      <c r="D234" s="736"/>
      <c r="E234" s="141"/>
      <c r="F234" s="141"/>
      <c r="G234" s="141"/>
      <c r="H234" s="141"/>
      <c r="I234" s="141"/>
      <c r="J234" s="141"/>
      <c r="K234" s="141"/>
      <c r="L234" s="142"/>
      <c r="M234" s="10"/>
    </row>
    <row r="235" spans="2:13" hidden="1" x14ac:dyDescent="0.3">
      <c r="B235" s="735" t="str">
        <f>D$32</f>
        <v>net delivered selling value (CAD)</v>
      </c>
      <c r="C235" s="736"/>
      <c r="D235" s="736"/>
      <c r="E235" s="141"/>
      <c r="F235" s="141"/>
      <c r="G235" s="141"/>
      <c r="H235" s="141"/>
      <c r="I235" s="141"/>
      <c r="J235" s="141"/>
      <c r="K235" s="141"/>
      <c r="L235" s="142"/>
      <c r="M235" s="10"/>
    </row>
    <row r="236" spans="2:13" hidden="1" x14ac:dyDescent="0.3">
      <c r="B236" s="735" t="str">
        <f>D$33</f>
        <v>$ / tonne</v>
      </c>
      <c r="C236" s="736"/>
      <c r="D236" s="736"/>
      <c r="E236" s="289" t="str">
        <f t="shared" ref="E236" si="143">IF(E234=0,"-",E235/E234)</f>
        <v>-</v>
      </c>
      <c r="F236" s="289" t="str">
        <f t="shared" ref="F236" si="144">IF(F234=0,"-",F235/F234)</f>
        <v>-</v>
      </c>
      <c r="G236" s="289" t="str">
        <f t="shared" ref="G236" si="145">IF(G234=0,"-",G235/G234)</f>
        <v>-</v>
      </c>
      <c r="H236" s="289" t="str">
        <f t="shared" ref="H236" si="146">IF(H234=0,"-",H235/H234)</f>
        <v>-</v>
      </c>
      <c r="I236" s="289" t="str">
        <f t="shared" ref="I236" si="147">IF(I234=0,"-",I235/I234)</f>
        <v>-</v>
      </c>
      <c r="J236" s="289" t="str">
        <f t="shared" ref="J236" si="148">IF(J234=0,"-",J235/J234)</f>
        <v>-</v>
      </c>
      <c r="K236" s="289" t="str">
        <f t="shared" ref="K236" si="149">IF(K234=0,"-",K235/K234)</f>
        <v>-</v>
      </c>
      <c r="L236" s="289" t="str">
        <f t="shared" ref="L236" si="150">IF(L234=0,"-",L235/L234)</f>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D$31</f>
        <v>tonnes</v>
      </c>
      <c r="C239" s="736"/>
      <c r="D239" s="736"/>
      <c r="E239" s="141"/>
      <c r="F239" s="141"/>
      <c r="G239" s="141"/>
      <c r="H239" s="141"/>
      <c r="I239" s="141"/>
      <c r="J239" s="141"/>
      <c r="K239" s="141"/>
      <c r="L239" s="142"/>
      <c r="M239" s="10"/>
    </row>
    <row r="240" spans="2:13" hidden="1" x14ac:dyDescent="0.3">
      <c r="B240" s="735" t="str">
        <f>D$32</f>
        <v>net delivered selling value (CAD)</v>
      </c>
      <c r="C240" s="736"/>
      <c r="D240" s="736"/>
      <c r="E240" s="141"/>
      <c r="F240" s="141"/>
      <c r="G240" s="141"/>
      <c r="H240" s="141"/>
      <c r="I240" s="141"/>
      <c r="J240" s="141"/>
      <c r="K240" s="141"/>
      <c r="L240" s="142"/>
      <c r="M240" s="10"/>
    </row>
    <row r="241" spans="1:19" hidden="1" x14ac:dyDescent="0.3">
      <c r="B241" s="735" t="str">
        <f>D$33</f>
        <v>$ / tonne</v>
      </c>
      <c r="C241" s="736"/>
      <c r="D241" s="736"/>
      <c r="E241" s="289" t="str">
        <f t="shared" ref="E241" si="151">IF(E239=0,"-",E240/E239)</f>
        <v>-</v>
      </c>
      <c r="F241" s="289" t="str">
        <f t="shared" ref="F241" si="152">IF(F239=0,"-",F240/F239)</f>
        <v>-</v>
      </c>
      <c r="G241" s="289" t="str">
        <f t="shared" ref="G241" si="153">IF(G239=0,"-",G240/G239)</f>
        <v>-</v>
      </c>
      <c r="H241" s="289" t="str">
        <f t="shared" ref="H241" si="154">IF(H239=0,"-",H240/H239)</f>
        <v>-</v>
      </c>
      <c r="I241" s="289" t="str">
        <f t="shared" ref="I241" si="155">IF(I239=0,"-",I240/I239)</f>
        <v>-</v>
      </c>
      <c r="J241" s="289" t="str">
        <f t="shared" ref="J241" si="156">IF(J239=0,"-",J240/J239)</f>
        <v>-</v>
      </c>
      <c r="K241" s="289" t="str">
        <f t="shared" ref="K241" si="157">IF(K239=0,"-",K240/K239)</f>
        <v>-</v>
      </c>
      <c r="L241" s="289" t="str">
        <f t="shared" ref="L241" si="158">IF(L239=0,"-",L240/L239)</f>
        <v>-</v>
      </c>
      <c r="M241" s="10"/>
    </row>
    <row r="242" spans="1:19" x14ac:dyDescent="0.3">
      <c r="B242" s="258"/>
      <c r="C242" s="259"/>
      <c r="D242" s="259"/>
      <c r="E242" s="29"/>
      <c r="F242" s="29"/>
      <c r="G242" s="29"/>
      <c r="H242" s="29"/>
      <c r="I242" s="29"/>
      <c r="J242" s="29"/>
      <c r="K242" s="29"/>
      <c r="L242" s="30"/>
      <c r="M242" s="10"/>
    </row>
    <row r="243" spans="1:19" x14ac:dyDescent="0.3">
      <c r="B243" s="500" t="str">
        <f>IF(Intro!$G$20="English",O243,P243)</f>
        <v>In the table below, “Error” means that the total sales of your firm's benchmark products exceed your firm's total import sales for that period. Therefore, please modify the above data if necessary.</v>
      </c>
      <c r="C243" s="501"/>
      <c r="D243" s="501"/>
      <c r="E243" s="501"/>
      <c r="F243" s="501"/>
      <c r="G243" s="501"/>
      <c r="H243" s="501"/>
      <c r="I243" s="501"/>
      <c r="J243" s="501"/>
      <c r="K243" s="501"/>
      <c r="L243" s="502"/>
      <c r="M243" s="10"/>
      <c r="O243" s="10" t="s">
        <v>368</v>
      </c>
      <c r="P243" s="10" t="s">
        <v>437</v>
      </c>
      <c r="S243" s="38"/>
    </row>
    <row r="244" spans="1:19" x14ac:dyDescent="0.3">
      <c r="B244" s="500"/>
      <c r="C244" s="501"/>
      <c r="D244" s="501"/>
      <c r="E244" s="501"/>
      <c r="F244" s="501"/>
      <c r="G244" s="501"/>
      <c r="H244" s="501"/>
      <c r="I244" s="501"/>
      <c r="J244" s="501"/>
      <c r="K244" s="501"/>
      <c r="L244" s="502"/>
      <c r="M244" s="10"/>
      <c r="S244" s="38"/>
    </row>
    <row r="245" spans="1:19" x14ac:dyDescent="0.3">
      <c r="B245" s="258"/>
      <c r="C245" s="259"/>
      <c r="D245" s="259"/>
      <c r="E245" s="29"/>
      <c r="F245" s="29"/>
      <c r="G245" s="29"/>
      <c r="H245" s="29"/>
      <c r="I245" s="29"/>
      <c r="J245" s="29"/>
      <c r="K245" s="29"/>
      <c r="L245" s="30"/>
      <c r="M245" s="10"/>
      <c r="S245" s="38"/>
    </row>
    <row r="246" spans="1:19" ht="14.1" customHeight="1" x14ac:dyDescent="0.3">
      <c r="B246" s="763" t="str">
        <f>Variables!D62</f>
        <v>Verification - volume</v>
      </c>
      <c r="C246" s="764"/>
      <c r="D246" s="764"/>
      <c r="E246" s="764"/>
      <c r="F246" s="765"/>
      <c r="G246" s="264">
        <f>G185</f>
        <v>2024</v>
      </c>
      <c r="H246" s="264">
        <f>H185</f>
        <v>2025</v>
      </c>
      <c r="I246" s="264" t="str">
        <f>I185</f>
        <v>Q1 - 2026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Okay</v>
      </c>
      <c r="H247" s="232" t="str">
        <f>IF(SUM(H204:K204,H209:K209,H214:K214,H219:K219,H224:K224,H229:K229,H234:K234,H239:K239)&gt;SUM(I37,I53,I69),Variables!$D$63,Variables!$D$64)</f>
        <v>Okay</v>
      </c>
      <c r="I247" s="232" t="str">
        <f>IF(SUM(L204,L209,L214,L219,L224,L229,L234,L239)&gt;SUM(K37,K53,K69),Variables!$D$63,Variables!$D$64)</f>
        <v>Okay</v>
      </c>
      <c r="J247" s="291"/>
      <c r="K247" s="291"/>
      <c r="L247" s="292"/>
      <c r="M247" s="10"/>
    </row>
    <row r="248" spans="1:19" ht="14.1" customHeight="1" x14ac:dyDescent="0.3">
      <c r="B248" s="783" t="str">
        <f>IF(Intro!$G$20="English",O248,P248)</f>
        <v>volume - total sales in Canada of imports of benchmark products (Question 4)</v>
      </c>
      <c r="C248" s="784"/>
      <c r="D248" s="784"/>
      <c r="E248" s="784"/>
      <c r="F248" s="785"/>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3" t="str">
        <f>IF(Intro!$G$20="English",O249,P249)</f>
        <v>volume - total sales in Canada of imports (Question 1)</v>
      </c>
      <c r="C249" s="784"/>
      <c r="D249" s="784"/>
      <c r="E249" s="784"/>
      <c r="F249" s="785"/>
      <c r="G249" s="232">
        <f>H37</f>
        <v>0</v>
      </c>
      <c r="H249" s="232">
        <f>I37</f>
        <v>0</v>
      </c>
      <c r="I249" s="232">
        <f>K37</f>
        <v>0</v>
      </c>
      <c r="J249" s="291"/>
      <c r="K249" s="291"/>
      <c r="L249" s="292"/>
      <c r="M249" s="10"/>
      <c r="O249" s="10" t="s">
        <v>499</v>
      </c>
      <c r="P249" s="10" t="s">
        <v>501</v>
      </c>
    </row>
    <row r="250" spans="1:19" x14ac:dyDescent="0.3">
      <c r="B250" s="763" t="str">
        <f>Variables!D66</f>
        <v>Verification - value</v>
      </c>
      <c r="C250" s="764"/>
      <c r="D250" s="764"/>
      <c r="E250" s="764"/>
      <c r="F250" s="765"/>
      <c r="G250" s="264">
        <f>G246</f>
        <v>2024</v>
      </c>
      <c r="H250" s="264">
        <f t="shared" ref="H250:I250" si="159">H246</f>
        <v>2025</v>
      </c>
      <c r="I250" s="264" t="str">
        <f t="shared" si="159"/>
        <v>Q1 - 2026</v>
      </c>
      <c r="J250" s="291"/>
      <c r="K250" s="291"/>
      <c r="L250" s="292"/>
      <c r="M250" s="10"/>
    </row>
    <row r="251" spans="1:19" ht="14.1" customHeight="1" x14ac:dyDescent="0.3">
      <c r="B251" s="760" t="str">
        <f>B205</f>
        <v>net delivered selling value (CAD)</v>
      </c>
      <c r="C251" s="761"/>
      <c r="D251" s="761"/>
      <c r="E251" s="761"/>
      <c r="F251" s="762"/>
      <c r="G251" s="232" t="str">
        <f>IF(SUM(E205:G205,E210:G210,E215:G215,E220:G220,E225:G225,E230:G230,E235:G235,E240:G240)&gt;SUM(H38,H54,H70),Variables!$D$63,Variables!$D$64)</f>
        <v>Okay</v>
      </c>
      <c r="H251" s="232" t="str">
        <f>IF(SUM(H205:K205,H210:K210,H215:K215,H220:K220,H225:K225,H230:K230,H235:K235,H240:K240)&gt;SUM(I38,I54,I70),Variables!$D$63,Variables!$D$64)</f>
        <v>Okay</v>
      </c>
      <c r="I251" s="232" t="str">
        <f>IF(SUM(L205,L210,L215,L220,L225,L230,L235,L240)&gt;SUM(K38,K54,K70),Variables!$D$63,Variables!$D$64)</f>
        <v>Okay</v>
      </c>
      <c r="J251" s="291"/>
      <c r="K251" s="291"/>
      <c r="L251" s="292"/>
      <c r="M251" s="10"/>
    </row>
    <row r="252" spans="1:19" ht="14.1" customHeight="1" x14ac:dyDescent="0.3">
      <c r="B252" s="783" t="str">
        <f>IF(Intro!$G$20="English",O252,P252)</f>
        <v>value - total sales in Canada of imports of benchmark products (Question 4)</v>
      </c>
      <c r="C252" s="784"/>
      <c r="D252" s="784"/>
      <c r="E252" s="784"/>
      <c r="F252" s="785"/>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3" t="str">
        <f>IF(Intro!$G$20="English",O253,P253)</f>
        <v>value - total sales in Canada of imports (Question 1)</v>
      </c>
      <c r="C253" s="784"/>
      <c r="D253" s="784"/>
      <c r="E253" s="784"/>
      <c r="F253" s="785"/>
      <c r="G253" s="232">
        <f>H38</f>
        <v>0</v>
      </c>
      <c r="H253" s="232">
        <f>I38</f>
        <v>0</v>
      </c>
      <c r="I253" s="232">
        <f>K38</f>
        <v>0</v>
      </c>
      <c r="J253" s="291"/>
      <c r="K253" s="291"/>
      <c r="L253" s="292"/>
      <c r="M253" s="10"/>
      <c r="O253" s="10" t="s">
        <v>505</v>
      </c>
      <c r="P253" s="10" t="s">
        <v>503</v>
      </c>
    </row>
    <row r="254" spans="1:19" x14ac:dyDescent="0.3">
      <c r="B254" s="72"/>
      <c r="C254" s="84"/>
      <c r="D254" s="84"/>
      <c r="E254" s="84"/>
      <c r="F254" s="84"/>
      <c r="G254" s="84"/>
      <c r="H254" s="84"/>
      <c r="I254" s="84"/>
      <c r="J254" s="84"/>
      <c r="K254" s="84"/>
      <c r="L254" s="85"/>
      <c r="M254" s="10"/>
    </row>
    <row r="255" spans="1:19" s="44" customFormat="1" x14ac:dyDescent="0.3">
      <c r="A255" s="93"/>
      <c r="B255" s="4"/>
      <c r="C255" s="4"/>
      <c r="D255" s="77"/>
      <c r="E255" s="77"/>
      <c r="F255" s="77"/>
      <c r="G255" s="77"/>
      <c r="H255" s="77"/>
      <c r="I255" s="77"/>
      <c r="J255" s="77"/>
      <c r="K255" s="77"/>
      <c r="L255" s="77"/>
      <c r="N255" s="78"/>
    </row>
    <row r="256" spans="1:19" x14ac:dyDescent="0.3">
      <c r="B256" s="506" t="str">
        <f>IF(Intro!$G$20="English",O256,P256)</f>
        <v>IMPORT DATA FOR CBSA PERIOD OF DUMPING INVESTIGATION</v>
      </c>
      <c r="C256" s="507"/>
      <c r="D256" s="507"/>
      <c r="E256" s="507"/>
      <c r="F256" s="507"/>
      <c r="G256" s="507"/>
      <c r="H256" s="507"/>
      <c r="I256" s="507"/>
      <c r="J256" s="507"/>
      <c r="K256" s="507"/>
      <c r="L256" s="508"/>
      <c r="M256" s="10"/>
      <c r="O256" s="107" t="s">
        <v>336</v>
      </c>
      <c r="P256" s="107" t="s">
        <v>337</v>
      </c>
    </row>
    <row r="257" spans="1:16" s="262"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 xml:space="preserve">Report the volume and value of imports during CBSA's period of dumping investigation : </v>
      </c>
      <c r="C259" s="504"/>
      <c r="D259" s="504"/>
      <c r="E259" s="504"/>
      <c r="F259" s="504"/>
      <c r="G259" s="504"/>
      <c r="H259" s="504"/>
      <c r="I259" s="504"/>
      <c r="J259" s="504"/>
      <c r="K259" s="504"/>
      <c r="L259" s="505"/>
      <c r="M259" s="10"/>
      <c r="O259" s="18" t="s">
        <v>198</v>
      </c>
      <c r="P259" s="10" t="s">
        <v>199</v>
      </c>
    </row>
    <row r="260" spans="1:16" x14ac:dyDescent="0.3">
      <c r="B260" s="258"/>
      <c r="C260" s="259"/>
      <c r="D260" s="35"/>
      <c r="E260" s="36"/>
      <c r="F260" s="36"/>
      <c r="G260" s="36"/>
      <c r="H260" s="36"/>
      <c r="I260" s="36"/>
      <c r="J260" s="36"/>
      <c r="K260" s="36"/>
      <c r="L260" s="17"/>
      <c r="M260" s="10"/>
      <c r="O260" s="18"/>
    </row>
    <row r="261" spans="1:16" ht="14.4" customHeight="1" x14ac:dyDescent="0.3">
      <c r="B261" s="48"/>
      <c r="C261" s="45"/>
      <c r="D261" s="35"/>
      <c r="E261" s="10"/>
      <c r="F261" s="796" t="str">
        <f>IF(Intro!$G$20="English",Variables!B39,Variables!C39)</f>
        <v>October 1, 2024 - September 30, 2025</v>
      </c>
      <c r="G261" s="796"/>
      <c r="H261" s="796"/>
      <c r="I261" s="291"/>
      <c r="J261" s="291"/>
      <c r="K261" s="291"/>
      <c r="L261" s="292"/>
      <c r="M261" s="10"/>
      <c r="O261" s="47"/>
      <c r="P261" s="47"/>
    </row>
    <row r="262" spans="1:16" x14ac:dyDescent="0.3">
      <c r="B262" s="540" t="str">
        <f>IF(Intro!$G$20="English",O262,P262)</f>
        <v>Imports</v>
      </c>
      <c r="C262" s="736" t="str">
        <f>D27</f>
        <v>tonnes</v>
      </c>
      <c r="D262" s="736"/>
      <c r="E262" s="782"/>
      <c r="F262" s="795"/>
      <c r="G262" s="795"/>
      <c r="H262" s="795"/>
      <c r="I262" s="291"/>
      <c r="J262" s="291"/>
      <c r="K262" s="291"/>
      <c r="L262" s="292"/>
      <c r="M262" s="10"/>
      <c r="O262" s="10" t="s">
        <v>91</v>
      </c>
      <c r="P262" s="10" t="s">
        <v>169</v>
      </c>
    </row>
    <row r="263" spans="1:16" x14ac:dyDescent="0.3">
      <c r="B263" s="540"/>
      <c r="C263" s="736" t="str">
        <f>D28</f>
        <v>net delivered purchase value (CAD)</v>
      </c>
      <c r="D263" s="736"/>
      <c r="E263" s="782"/>
      <c r="F263" s="795"/>
      <c r="G263" s="795"/>
      <c r="H263" s="795"/>
      <c r="I263" s="291"/>
      <c r="J263" s="291"/>
      <c r="K263" s="291"/>
      <c r="L263" s="292"/>
      <c r="M263" s="10"/>
    </row>
    <row r="264" spans="1:16" x14ac:dyDescent="0.3">
      <c r="B264" s="540"/>
      <c r="C264" s="736" t="str">
        <f>D29</f>
        <v>$ / tonne</v>
      </c>
      <c r="D264" s="736"/>
      <c r="E264" s="782"/>
      <c r="F264" s="794" t="str">
        <f>IF(F262=0,"-",F263/F262)</f>
        <v>-</v>
      </c>
      <c r="G264" s="794"/>
      <c r="H264" s="794"/>
      <c r="I264" s="291"/>
      <c r="J264" s="291"/>
      <c r="K264" s="291"/>
      <c r="L264" s="292"/>
      <c r="M264" s="10"/>
    </row>
    <row r="265" spans="1:16" x14ac:dyDescent="0.3">
      <c r="B265" s="46"/>
      <c r="C265" s="117"/>
      <c r="D265" s="117"/>
      <c r="E265" s="34"/>
      <c r="F265" s="34"/>
      <c r="G265" s="34"/>
      <c r="H265" s="34"/>
      <c r="I265" s="34"/>
      <c r="J265" s="34"/>
      <c r="K265" s="34"/>
      <c r="L265" s="37"/>
      <c r="M265" s="10"/>
    </row>
    <row r="266" spans="1:16" s="44" customFormat="1" x14ac:dyDescent="0.3">
      <c r="A266" s="93"/>
      <c r="B266" s="4"/>
      <c r="C266" s="4"/>
      <c r="D266" s="77"/>
      <c r="E266" s="77"/>
      <c r="F266" s="77"/>
      <c r="G266" s="77"/>
      <c r="H266" s="77"/>
      <c r="I266" s="77"/>
      <c r="J266" s="77"/>
      <c r="K266" s="77"/>
      <c r="L266" s="77"/>
      <c r="N266" s="78"/>
    </row>
    <row r="267" spans="1:16" x14ac:dyDescent="0.3">
      <c r="B267" s="506" t="str">
        <f>UPPER(IF(Intro!$G$20="English",O267,P267))</f>
        <v>IMPORT DATA FOR MASSIVE IMPORTATION ANALYSIS</v>
      </c>
      <c r="C267" s="507"/>
      <c r="D267" s="507"/>
      <c r="E267" s="507"/>
      <c r="F267" s="507"/>
      <c r="G267" s="507"/>
      <c r="H267" s="507"/>
      <c r="I267" s="507"/>
      <c r="J267" s="507"/>
      <c r="K267" s="507"/>
      <c r="L267" s="508"/>
      <c r="M267" s="10"/>
      <c r="O267" s="107" t="s">
        <v>338</v>
      </c>
      <c r="P267" s="107" t="s">
        <v>438</v>
      </c>
    </row>
    <row r="268" spans="1:16" s="262" customFormat="1" x14ac:dyDescent="0.3">
      <c r="A268" s="7"/>
      <c r="B268" s="647" t="s">
        <v>19</v>
      </c>
      <c r="C268" s="648"/>
      <c r="D268" s="648"/>
      <c r="E268" s="648"/>
      <c r="F268" s="648"/>
      <c r="G268" s="648"/>
      <c r="H268" s="648"/>
      <c r="I268" s="648"/>
      <c r="J268" s="648"/>
      <c r="K268" s="648"/>
      <c r="L268" s="649"/>
      <c r="M268" s="73"/>
      <c r="O268" s="10"/>
    </row>
    <row r="269" spans="1:16" x14ac:dyDescent="0.3">
      <c r="B269" s="16"/>
      <c r="C269" s="35"/>
      <c r="D269" s="35"/>
      <c r="E269" s="36"/>
      <c r="F269" s="36"/>
      <c r="G269" s="36"/>
      <c r="H269" s="36"/>
      <c r="I269" s="36"/>
      <c r="J269" s="36"/>
      <c r="K269" s="36"/>
      <c r="L269" s="17"/>
      <c r="M269" s="10"/>
    </row>
    <row r="270" spans="1:16" x14ac:dyDescent="0.3">
      <c r="B270" s="503" t="str">
        <f>IF(Intro!$G$20="English",O270,P270)</f>
        <v xml:space="preserve">Report the volume of imports and the ending inventory in Canada of the goods originating from the exporter outlined above : </v>
      </c>
      <c r="C270" s="504"/>
      <c r="D270" s="504"/>
      <c r="E270" s="504"/>
      <c r="F270" s="504"/>
      <c r="G270" s="504"/>
      <c r="H270" s="504"/>
      <c r="I270" s="504"/>
      <c r="J270" s="504"/>
      <c r="K270" s="504"/>
      <c r="L270" s="505"/>
      <c r="M270" s="10"/>
      <c r="O270" s="18" t="s">
        <v>193</v>
      </c>
      <c r="P270" s="10" t="s">
        <v>440</v>
      </c>
    </row>
    <row r="271" spans="1:16" x14ac:dyDescent="0.3">
      <c r="B271" s="258"/>
      <c r="C271" s="259"/>
      <c r="D271" s="35"/>
      <c r="E271" s="36"/>
      <c r="F271" s="36"/>
      <c r="G271" s="36"/>
      <c r="H271" s="36"/>
      <c r="I271" s="36"/>
      <c r="J271" s="36"/>
      <c r="K271" s="36"/>
      <c r="L271" s="17"/>
      <c r="M271" s="10"/>
      <c r="O271" s="18"/>
    </row>
    <row r="272" spans="1:16" x14ac:dyDescent="0.3">
      <c r="B272" s="258"/>
      <c r="C272" s="259"/>
      <c r="D272" s="35"/>
      <c r="E272" s="267" t="str">
        <f>H201</f>
        <v>Q1 - 2025</v>
      </c>
      <c r="F272" s="279" t="str">
        <f>I201</f>
        <v>Q2 - 2025</v>
      </c>
      <c r="G272" s="279" t="str">
        <f>J201</f>
        <v>Q3 - 2025</v>
      </c>
      <c r="H272" s="279" t="str">
        <f>K201</f>
        <v>Q4 - 2025</v>
      </c>
      <c r="I272" s="490" t="str">
        <f>L201</f>
        <v>Q1 - 2026</v>
      </c>
      <c r="J272" s="36"/>
      <c r="K272" s="36"/>
      <c r="L272" s="17"/>
      <c r="M272" s="10"/>
      <c r="O272" s="18"/>
    </row>
    <row r="273" spans="1:19" x14ac:dyDescent="0.3">
      <c r="B273" s="750" t="str">
        <f>B262</f>
        <v>Imports</v>
      </c>
      <c r="C273" s="751"/>
      <c r="D273" s="268" t="str">
        <f>C262</f>
        <v>tonnes</v>
      </c>
      <c r="E273" s="227"/>
      <c r="F273" s="227"/>
      <c r="G273" s="227"/>
      <c r="H273" s="227"/>
      <c r="I273" s="227"/>
      <c r="J273" s="36"/>
      <c r="K273" s="36"/>
      <c r="L273" s="17"/>
      <c r="M273" s="10"/>
    </row>
    <row r="274" spans="1:19" x14ac:dyDescent="0.3">
      <c r="B274" s="750" t="str">
        <f>IF(Intro!$G$20="English",O274,P274)</f>
        <v>Ending Inventories</v>
      </c>
      <c r="C274" s="751"/>
      <c r="D274" s="268" t="str">
        <f>C262</f>
        <v>tonnes</v>
      </c>
      <c r="E274" s="227"/>
      <c r="F274" s="227"/>
      <c r="G274" s="227"/>
      <c r="H274" s="227"/>
      <c r="I274" s="227"/>
      <c r="J274" s="36"/>
      <c r="K274" s="36"/>
      <c r="L274" s="17"/>
      <c r="M274" s="10"/>
      <c r="O274" s="10" t="s">
        <v>194</v>
      </c>
      <c r="P274" s="10" t="s">
        <v>439</v>
      </c>
    </row>
    <row r="275" spans="1:19" x14ac:dyDescent="0.3">
      <c r="B275" s="273"/>
      <c r="C275" s="274"/>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Imports</v>
      </c>
      <c r="C277" s="751"/>
      <c r="D277" s="281" t="str">
        <f>D273</f>
        <v>tonnes</v>
      </c>
      <c r="E277" s="227"/>
      <c r="F277" s="36"/>
      <c r="G277" s="227"/>
      <c r="H277" s="36"/>
      <c r="I277" s="227"/>
      <c r="K277" s="36"/>
      <c r="L277" s="17"/>
      <c r="M277" s="10"/>
    </row>
    <row r="278" spans="1:19" x14ac:dyDescent="0.3">
      <c r="B278" s="750" t="str">
        <f>IF(Intro!$G$20="English",O278,P278)</f>
        <v>Ending Inventories</v>
      </c>
      <c r="C278" s="751"/>
      <c r="D278" s="281" t="str">
        <f>D274</f>
        <v>tonnes</v>
      </c>
      <c r="E278" s="227"/>
      <c r="F278" s="36"/>
      <c r="G278" s="227"/>
      <c r="H278" s="36"/>
      <c r="I278" s="227"/>
      <c r="K278" s="36"/>
      <c r="L278" s="17"/>
      <c r="M278" s="10"/>
      <c r="O278" s="10" t="s">
        <v>194</v>
      </c>
      <c r="P278" s="10" t="s">
        <v>439</v>
      </c>
    </row>
    <row r="279" spans="1:19" x14ac:dyDescent="0.3">
      <c r="B279" s="258"/>
      <c r="C279" s="259"/>
      <c r="D279" s="259"/>
      <c r="E279" s="29"/>
      <c r="F279" s="29"/>
      <c r="G279" s="29"/>
      <c r="H279" s="29"/>
      <c r="I279" s="36"/>
      <c r="J279" s="29"/>
      <c r="K279" s="29"/>
      <c r="L279" s="30"/>
      <c r="M279" s="10"/>
    </row>
    <row r="280" spans="1:19" x14ac:dyDescent="0.3">
      <c r="B280" s="500" t="str">
        <f>IF(Intro!$G$20="English",O280,P280)</f>
        <v>In the table below, “Error” means that the sum of the quarterly imports reported above exceeds the annual imports reported in Question 1. Therefore, please modify the data if necessary.</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55"/>
      <c r="C282" s="256"/>
      <c r="D282" s="256"/>
      <c r="E282" s="256"/>
      <c r="F282" s="256"/>
      <c r="G282" s="256"/>
      <c r="H282" s="256"/>
      <c r="I282" s="256"/>
      <c r="J282" s="256"/>
      <c r="K282" s="256"/>
      <c r="L282" s="257"/>
      <c r="M282" s="10"/>
      <c r="S282" s="38"/>
    </row>
    <row r="283" spans="1:19" x14ac:dyDescent="0.3">
      <c r="B283" s="237"/>
      <c r="C283" s="224"/>
      <c r="D283" s="238"/>
      <c r="E283" s="45"/>
      <c r="F283" s="264">
        <f>G283-1</f>
        <v>2025</v>
      </c>
      <c r="G283" s="264">
        <f>Variables!B8</f>
        <v>2026</v>
      </c>
      <c r="H283" s="295"/>
      <c r="I283" s="291"/>
      <c r="J283" s="291"/>
      <c r="K283" s="291"/>
      <c r="L283" s="296"/>
      <c r="M283" s="10"/>
      <c r="O283" s="18"/>
    </row>
    <row r="284" spans="1:19" ht="14.85" customHeight="1" x14ac:dyDescent="0.3">
      <c r="B284" s="237"/>
      <c r="C284" s="243"/>
      <c r="D284" s="786" t="str">
        <f>B246</f>
        <v>Verification - volume</v>
      </c>
      <c r="E284" s="787"/>
      <c r="F284" s="232" t="str">
        <f>IF(SUM(E273:H273)&gt;SUM(I43,I59,I27),Variables!$D$63,Variables!$D$64)</f>
        <v>Okay</v>
      </c>
      <c r="G284" s="232" t="str">
        <f>IF(SUM(I273)&gt;SUM(K27,K43,K59),Variables!$D$63,Variables!$D$64)</f>
        <v>Okay</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262" customFormat="1" x14ac:dyDescent="0.3">
      <c r="A286" s="7"/>
      <c r="B286" s="21" t="s">
        <v>20</v>
      </c>
      <c r="C286" s="22"/>
      <c r="D286" s="22"/>
      <c r="E286" s="23"/>
      <c r="F286" s="23"/>
      <c r="G286" s="23"/>
      <c r="H286" s="23"/>
      <c r="I286" s="23"/>
      <c r="J286" s="23"/>
      <c r="K286" s="23"/>
      <c r="L286" s="24"/>
      <c r="M286" s="73"/>
    </row>
    <row r="287" spans="1:19" s="38" customFormat="1" x14ac:dyDescent="0.3">
      <c r="A287" s="49"/>
      <c r="B287" s="53"/>
      <c r="C287" s="94"/>
      <c r="D287" s="94"/>
      <c r="E287" s="94"/>
      <c r="F287" s="94"/>
      <c r="G287" s="94"/>
      <c r="H287" s="94"/>
      <c r="I287" s="94"/>
      <c r="J287" s="94"/>
      <c r="K287" s="94"/>
      <c r="L287" s="54"/>
      <c r="O287" s="10"/>
      <c r="P287" s="10"/>
      <c r="Q287" s="10"/>
      <c r="R287" s="10"/>
    </row>
    <row r="288" spans="1:19" s="38" customFormat="1" x14ac:dyDescent="0.3">
      <c r="A288" s="49"/>
      <c r="B288" s="500" t="str">
        <f>IF(Intro!$G$20="English",O288,P288)</f>
        <v>Describe any factors (for example, shipping delays, seasonality, etc.) which would explain the overall trend in your firm's quarterly import volumes and ending inventories, as reported in Question 6.</v>
      </c>
      <c r="C288" s="501"/>
      <c r="D288" s="501"/>
      <c r="E288" s="501"/>
      <c r="F288" s="501"/>
      <c r="G288" s="501"/>
      <c r="H288" s="501"/>
      <c r="I288" s="501"/>
      <c r="J288" s="501"/>
      <c r="K288" s="501"/>
      <c r="L288" s="502"/>
      <c r="O288" s="10" t="s">
        <v>380</v>
      </c>
      <c r="P288" s="10" t="s">
        <v>381</v>
      </c>
      <c r="Q288" s="10"/>
      <c r="R288" s="10"/>
    </row>
    <row r="289" spans="1:18" s="38" customFormat="1" x14ac:dyDescent="0.3">
      <c r="A289" s="49"/>
      <c r="B289" s="500"/>
      <c r="C289" s="501"/>
      <c r="D289" s="501"/>
      <c r="E289" s="501"/>
      <c r="F289" s="501"/>
      <c r="G289" s="501"/>
      <c r="H289" s="501"/>
      <c r="I289" s="501"/>
      <c r="J289" s="501"/>
      <c r="K289" s="501"/>
      <c r="L289" s="502"/>
      <c r="O289" s="10"/>
      <c r="P289" s="10"/>
      <c r="Q289" s="10"/>
      <c r="R289" s="10"/>
    </row>
    <row r="290" spans="1:18" s="38" customFormat="1" x14ac:dyDescent="0.3">
      <c r="A290" s="49"/>
      <c r="B290" s="53"/>
      <c r="C290" s="94"/>
      <c r="D290" s="94"/>
      <c r="E290" s="94"/>
      <c r="F290" s="94"/>
      <c r="G290" s="94"/>
      <c r="H290" s="94"/>
      <c r="I290" s="94"/>
      <c r="J290" s="94"/>
      <c r="K290" s="94"/>
      <c r="L290" s="54"/>
      <c r="O290" s="10"/>
      <c r="P290" s="10"/>
      <c r="Q290" s="10"/>
      <c r="R290" s="10"/>
    </row>
    <row r="291" spans="1:18" s="262" customFormat="1" x14ac:dyDescent="0.3">
      <c r="A291" s="8"/>
      <c r="B291" s="639"/>
      <c r="C291" s="640"/>
      <c r="D291" s="640"/>
      <c r="E291" s="640"/>
      <c r="F291" s="640"/>
      <c r="G291" s="640"/>
      <c r="H291" s="640"/>
      <c r="I291" s="640"/>
      <c r="J291" s="640"/>
      <c r="K291" s="640"/>
      <c r="L291" s="641"/>
      <c r="M291" s="38"/>
    </row>
    <row r="292" spans="1:18" s="262" customFormat="1" x14ac:dyDescent="0.3">
      <c r="A292" s="8"/>
      <c r="B292" s="639"/>
      <c r="C292" s="640"/>
      <c r="D292" s="640"/>
      <c r="E292" s="640"/>
      <c r="F292" s="640"/>
      <c r="G292" s="640"/>
      <c r="H292" s="640"/>
      <c r="I292" s="640"/>
      <c r="J292" s="640"/>
      <c r="K292" s="640"/>
      <c r="L292" s="641"/>
      <c r="M292" s="38"/>
    </row>
    <row r="293" spans="1:18" s="262" customFormat="1" x14ac:dyDescent="0.3">
      <c r="A293" s="8"/>
      <c r="B293" s="639"/>
      <c r="C293" s="640"/>
      <c r="D293" s="640"/>
      <c r="E293" s="640"/>
      <c r="F293" s="640"/>
      <c r="G293" s="640"/>
      <c r="H293" s="640"/>
      <c r="I293" s="640"/>
      <c r="J293" s="640"/>
      <c r="K293" s="640"/>
      <c r="L293" s="641"/>
      <c r="M293" s="38"/>
    </row>
    <row r="294" spans="1:18" s="262" customFormat="1" x14ac:dyDescent="0.3">
      <c r="A294" s="8"/>
      <c r="B294" s="639"/>
      <c r="C294" s="640"/>
      <c r="D294" s="640"/>
      <c r="E294" s="640"/>
      <c r="F294" s="640"/>
      <c r="G294" s="640"/>
      <c r="H294" s="640"/>
      <c r="I294" s="640"/>
      <c r="J294" s="640"/>
      <c r="K294" s="640"/>
      <c r="L294" s="641"/>
      <c r="M294" s="38"/>
    </row>
    <row r="295" spans="1:18" s="262" customFormat="1" x14ac:dyDescent="0.3">
      <c r="A295" s="8"/>
      <c r="B295" s="639"/>
      <c r="C295" s="640"/>
      <c r="D295" s="640"/>
      <c r="E295" s="640"/>
      <c r="F295" s="640"/>
      <c r="G295" s="640"/>
      <c r="H295" s="640"/>
      <c r="I295" s="640"/>
      <c r="J295" s="640"/>
      <c r="K295" s="640"/>
      <c r="L295" s="641"/>
      <c r="M295" s="38"/>
    </row>
    <row r="296" spans="1:18" s="262" customFormat="1" x14ac:dyDescent="0.3">
      <c r="A296" s="8"/>
      <c r="B296" s="639"/>
      <c r="C296" s="640"/>
      <c r="D296" s="640"/>
      <c r="E296" s="640"/>
      <c r="F296" s="640"/>
      <c r="G296" s="640"/>
      <c r="H296" s="640"/>
      <c r="I296" s="640"/>
      <c r="J296" s="640"/>
      <c r="K296" s="640"/>
      <c r="L296" s="641"/>
      <c r="M296" s="38"/>
    </row>
    <row r="297" spans="1:18" s="262" customFormat="1" x14ac:dyDescent="0.3">
      <c r="A297" s="8"/>
      <c r="B297" s="639"/>
      <c r="C297" s="640"/>
      <c r="D297" s="640"/>
      <c r="E297" s="640"/>
      <c r="F297" s="640"/>
      <c r="G297" s="640"/>
      <c r="H297" s="640"/>
      <c r="I297" s="640"/>
      <c r="J297" s="640"/>
      <c r="K297" s="640"/>
      <c r="L297" s="641"/>
      <c r="M297" s="38"/>
    </row>
    <row r="298" spans="1:18" s="262" customFormat="1" x14ac:dyDescent="0.3">
      <c r="A298" s="8"/>
      <c r="B298" s="639"/>
      <c r="C298" s="640"/>
      <c r="D298" s="640"/>
      <c r="E298" s="640"/>
      <c r="F298" s="640"/>
      <c r="G298" s="640"/>
      <c r="H298" s="640"/>
      <c r="I298" s="640"/>
      <c r="J298" s="640"/>
      <c r="K298" s="640"/>
      <c r="L298" s="641"/>
      <c r="M298" s="38"/>
    </row>
    <row r="299" spans="1:18" s="38" customFormat="1" x14ac:dyDescent="0.3">
      <c r="A299" s="49"/>
      <c r="B299" s="50"/>
      <c r="C299" s="51"/>
      <c r="D299" s="51"/>
      <c r="E299" s="51"/>
      <c r="F299" s="51"/>
      <c r="G299" s="51"/>
      <c r="H299" s="51"/>
      <c r="I299" s="51"/>
      <c r="J299" s="51"/>
      <c r="K299" s="51"/>
      <c r="L299" s="52"/>
      <c r="O299" s="10"/>
      <c r="P299" s="10"/>
      <c r="Q299" s="10"/>
      <c r="R299" s="10"/>
    </row>
  </sheetData>
  <sheetProtection algorithmName="SHA-512" hashValue="jdnLLu0SmWIMo6OJ/ANZE8XED870n6IExBMLe+WqbiqvvJshZONpvFssTFvzjPtgzO4QzgrqxHllazE8uPfFUQ==" saltValue="tXFHGJ6q2Ex0acXwBl5/Sg==" spinCount="100000" sheet="1" objects="1" scenarios="1" selectLockedCells="1"/>
  <mergeCells count="244">
    <mergeCell ref="B74:K74"/>
    <mergeCell ref="B75:C77"/>
    <mergeCell ref="D75:F75"/>
    <mergeCell ref="D76:F76"/>
    <mergeCell ref="D77:F77"/>
    <mergeCell ref="B85:C87"/>
    <mergeCell ref="D85:F85"/>
    <mergeCell ref="D86:F86"/>
    <mergeCell ref="D87:F87"/>
    <mergeCell ref="B78:K78"/>
    <mergeCell ref="B79:C81"/>
    <mergeCell ref="D79:F79"/>
    <mergeCell ref="D80:F80"/>
    <mergeCell ref="D81:F81"/>
    <mergeCell ref="B82:C84"/>
    <mergeCell ref="D82:F82"/>
    <mergeCell ref="D83:F83"/>
    <mergeCell ref="D84:F84"/>
    <mergeCell ref="D67:F67"/>
    <mergeCell ref="D68:F68"/>
    <mergeCell ref="B58:K58"/>
    <mergeCell ref="B59:C61"/>
    <mergeCell ref="D59:F59"/>
    <mergeCell ref="D60:F60"/>
    <mergeCell ref="D61:F61"/>
    <mergeCell ref="B62:K62"/>
    <mergeCell ref="B69:C71"/>
    <mergeCell ref="D69:F69"/>
    <mergeCell ref="D70:F70"/>
    <mergeCell ref="D71:F71"/>
    <mergeCell ref="D284:E284"/>
    <mergeCell ref="B288:L289"/>
    <mergeCell ref="B253:F253"/>
    <mergeCell ref="B256:L256"/>
    <mergeCell ref="B257:L257"/>
    <mergeCell ref="B259:L259"/>
    <mergeCell ref="B243:L244"/>
    <mergeCell ref="B246:F246"/>
    <mergeCell ref="B247:F247"/>
    <mergeCell ref="B248:F248"/>
    <mergeCell ref="B249:F249"/>
    <mergeCell ref="B250:F250"/>
    <mergeCell ref="B277:C277"/>
    <mergeCell ref="B278:C278"/>
    <mergeCell ref="F264:H264"/>
    <mergeCell ref="F263:H263"/>
    <mergeCell ref="F262:H262"/>
    <mergeCell ref="F261:H261"/>
    <mergeCell ref="B291:L298"/>
    <mergeCell ref="B42:K42"/>
    <mergeCell ref="B43:C45"/>
    <mergeCell ref="D43:F43"/>
    <mergeCell ref="D44:F44"/>
    <mergeCell ref="D45:F45"/>
    <mergeCell ref="B46:K46"/>
    <mergeCell ref="B47:C49"/>
    <mergeCell ref="B267:L267"/>
    <mergeCell ref="B268:L268"/>
    <mergeCell ref="B270:L270"/>
    <mergeCell ref="B273:C273"/>
    <mergeCell ref="B274:C274"/>
    <mergeCell ref="B280:L281"/>
    <mergeCell ref="B262:B264"/>
    <mergeCell ref="C262:E262"/>
    <mergeCell ref="C263:E263"/>
    <mergeCell ref="C264:E264"/>
    <mergeCell ref="B251:F251"/>
    <mergeCell ref="B252:F252"/>
    <mergeCell ref="B241:D241"/>
    <mergeCell ref="B227:L228"/>
    <mergeCell ref="B229:D229"/>
    <mergeCell ref="B230:D230"/>
    <mergeCell ref="B231:D231"/>
    <mergeCell ref="B232:L233"/>
    <mergeCell ref="B234:D234"/>
    <mergeCell ref="B220:D220"/>
    <mergeCell ref="B221:D221"/>
    <mergeCell ref="B222:L223"/>
    <mergeCell ref="B224:D224"/>
    <mergeCell ref="B225:D225"/>
    <mergeCell ref="B226:D226"/>
    <mergeCell ref="B235:D235"/>
    <mergeCell ref="B236:D236"/>
    <mergeCell ref="B237:L238"/>
    <mergeCell ref="B239:D239"/>
    <mergeCell ref="B240:D240"/>
    <mergeCell ref="B212:L213"/>
    <mergeCell ref="B214:D214"/>
    <mergeCell ref="B215:D215"/>
    <mergeCell ref="B216:D216"/>
    <mergeCell ref="B217:L218"/>
    <mergeCell ref="B219:D219"/>
    <mergeCell ref="B205:D205"/>
    <mergeCell ref="B206:D206"/>
    <mergeCell ref="B207:L208"/>
    <mergeCell ref="B209:D209"/>
    <mergeCell ref="B210:D210"/>
    <mergeCell ref="B211:D211"/>
    <mergeCell ref="B196:L196"/>
    <mergeCell ref="B198:L198"/>
    <mergeCell ref="B199:L199"/>
    <mergeCell ref="B201:D201"/>
    <mergeCell ref="B202:L203"/>
    <mergeCell ref="B204:D204"/>
    <mergeCell ref="B188:F188"/>
    <mergeCell ref="B189:F189"/>
    <mergeCell ref="B190:F190"/>
    <mergeCell ref="B191:F191"/>
    <mergeCell ref="B192:F192"/>
    <mergeCell ref="B195:L195"/>
    <mergeCell ref="B179:D179"/>
    <mergeCell ref="B180:D180"/>
    <mergeCell ref="B182:L183"/>
    <mergeCell ref="B185:F185"/>
    <mergeCell ref="B186:F186"/>
    <mergeCell ref="B187:F187"/>
    <mergeCell ref="B171:L172"/>
    <mergeCell ref="B173:D173"/>
    <mergeCell ref="B174:D174"/>
    <mergeCell ref="B175:D175"/>
    <mergeCell ref="B176:L177"/>
    <mergeCell ref="B178:D178"/>
    <mergeCell ref="B170:D170"/>
    <mergeCell ref="B169:D169"/>
    <mergeCell ref="B168:D168"/>
    <mergeCell ref="B166:L167"/>
    <mergeCell ref="B164:D164"/>
    <mergeCell ref="B165:D165"/>
    <mergeCell ref="B156:L157"/>
    <mergeCell ref="B158:D158"/>
    <mergeCell ref="B159:D159"/>
    <mergeCell ref="B160:D160"/>
    <mergeCell ref="B161:L162"/>
    <mergeCell ref="B163:D163"/>
    <mergeCell ref="B149:D149"/>
    <mergeCell ref="B150:D150"/>
    <mergeCell ref="B151:L152"/>
    <mergeCell ref="B153:D153"/>
    <mergeCell ref="B154:D154"/>
    <mergeCell ref="B155:D155"/>
    <mergeCell ref="B141:L142"/>
    <mergeCell ref="B143:D143"/>
    <mergeCell ref="B144:D144"/>
    <mergeCell ref="B145:D145"/>
    <mergeCell ref="B146:L147"/>
    <mergeCell ref="B148:D148"/>
    <mergeCell ref="B131:F131"/>
    <mergeCell ref="B132:F132"/>
    <mergeCell ref="B135:L135"/>
    <mergeCell ref="B136:L136"/>
    <mergeCell ref="B138:L138"/>
    <mergeCell ref="B140:D140"/>
    <mergeCell ref="B125:F125"/>
    <mergeCell ref="B126:F126"/>
    <mergeCell ref="B127:F127"/>
    <mergeCell ref="B128:F128"/>
    <mergeCell ref="B129:F129"/>
    <mergeCell ref="B130:F130"/>
    <mergeCell ref="B112:D112"/>
    <mergeCell ref="B113:L113"/>
    <mergeCell ref="B114:D114"/>
    <mergeCell ref="B115:D115"/>
    <mergeCell ref="B116:D116"/>
    <mergeCell ref="B122:L123"/>
    <mergeCell ref="B106:D106"/>
    <mergeCell ref="B107:D107"/>
    <mergeCell ref="B108:D108"/>
    <mergeCell ref="B109:L109"/>
    <mergeCell ref="B110:D110"/>
    <mergeCell ref="B111:D111"/>
    <mergeCell ref="B117:L117"/>
    <mergeCell ref="B118:D118"/>
    <mergeCell ref="B119:D119"/>
    <mergeCell ref="B120:D120"/>
    <mergeCell ref="B100:D100"/>
    <mergeCell ref="B101:L101"/>
    <mergeCell ref="B102:D102"/>
    <mergeCell ref="B103:D103"/>
    <mergeCell ref="B104:D104"/>
    <mergeCell ref="B105:L105"/>
    <mergeCell ref="B93:L93"/>
    <mergeCell ref="B94:L94"/>
    <mergeCell ref="B96:D96"/>
    <mergeCell ref="B97:L97"/>
    <mergeCell ref="B98:D98"/>
    <mergeCell ref="B99:D99"/>
    <mergeCell ref="B37:C39"/>
    <mergeCell ref="D37:F37"/>
    <mergeCell ref="D38:F38"/>
    <mergeCell ref="D39:F39"/>
    <mergeCell ref="B90:L90"/>
    <mergeCell ref="B91:L91"/>
    <mergeCell ref="D47:F47"/>
    <mergeCell ref="D48:F48"/>
    <mergeCell ref="D49:F49"/>
    <mergeCell ref="B50:C52"/>
    <mergeCell ref="B57:F57"/>
    <mergeCell ref="D50:F50"/>
    <mergeCell ref="D51:F51"/>
    <mergeCell ref="D52:F52"/>
    <mergeCell ref="B53:C55"/>
    <mergeCell ref="D53:F53"/>
    <mergeCell ref="D54:F54"/>
    <mergeCell ref="D55:F55"/>
    <mergeCell ref="B63:C65"/>
    <mergeCell ref="D63:F63"/>
    <mergeCell ref="D64:F64"/>
    <mergeCell ref="D65:F65"/>
    <mergeCell ref="B66:C68"/>
    <mergeCell ref="D66:F66"/>
    <mergeCell ref="B34:C36"/>
    <mergeCell ref="D34:F34"/>
    <mergeCell ref="D35:F35"/>
    <mergeCell ref="D36:F36"/>
    <mergeCell ref="B26:K26"/>
    <mergeCell ref="B27:C29"/>
    <mergeCell ref="D27:F27"/>
    <mergeCell ref="D28:F28"/>
    <mergeCell ref="D29:F29"/>
    <mergeCell ref="B30:K30"/>
    <mergeCell ref="B4:L4"/>
    <mergeCell ref="B5:L5"/>
    <mergeCell ref="B6:L6"/>
    <mergeCell ref="B8:L8"/>
    <mergeCell ref="B9:L9"/>
    <mergeCell ref="B10:L11"/>
    <mergeCell ref="B25:F25"/>
    <mergeCell ref="B41:F41"/>
    <mergeCell ref="B19:L19"/>
    <mergeCell ref="B20:L20"/>
    <mergeCell ref="B22:F22"/>
    <mergeCell ref="G22:K22"/>
    <mergeCell ref="B23:F23"/>
    <mergeCell ref="G23:K23"/>
    <mergeCell ref="B12:L12"/>
    <mergeCell ref="B13:L13"/>
    <mergeCell ref="B14:L14"/>
    <mergeCell ref="B15:L15"/>
    <mergeCell ref="B16:L16"/>
    <mergeCell ref="B17:L17"/>
    <mergeCell ref="B31:C33"/>
    <mergeCell ref="D31:F31"/>
    <mergeCell ref="D32:F32"/>
    <mergeCell ref="D33:F33"/>
  </mergeCells>
  <conditionalFormatting sqref="F284:G284">
    <cfRule type="cellIs" dxfId="15" priority="1" operator="equal">
      <formula>"Error"</formula>
    </cfRule>
  </conditionalFormatting>
  <conditionalFormatting sqref="G126:I128 G130:I132 G186:I188 G190:I192 G251:I253">
    <cfRule type="cellIs" dxfId="14" priority="3" operator="equal">
      <formula>"Error"</formula>
    </cfRule>
  </conditionalFormatting>
  <conditionalFormatting sqref="G247:I249">
    <cfRule type="cellIs" dxfId="13"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B166:L167 G75:K76 I277:I278 E239:L240 E234:L235 E229:L230 E224:L225 E219:L220 E214:L215 E209:L210 E204:L205 E178:L179 E173:L174 E168:L169 E163:L164 E158:L159 E153:L154 E148:L149 E143:L144 E114:L115 E110:L111 E106:L107 E118:L119 E98:L99 G34:K35 G31:K32 G27:K28 G50:K51 G47:K48 G43:K44 G66:K67 G63:K64 G59:K60 G82:K83 G79:K80 E102:L103 E273:I274 E277:E278 G277:G278 F262:F263" xr:uid="{BE6D7F3C-2ACC-4D21-88E5-F53A41441494}">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F264 E104:L104 E108:L108 E231:L231 E170:L170 E175:L175 G29:K29 E100:L100 E112:L112 E241:L241 E145:L145 E150:L150 E155:L155 E160:L160 E165:L165 F284:G284 E180:L180 E206:L206 E211:L211 E216:L216 E221:L221 E226:L226 E236:L236 G251:I253 G36:K39 G186:I188 G190:I192 G126:I128 G130:I132 G247:I249 G33:K33 G45:K45 G52:K55 G49:K49 G68:K71 G61:K61 G84:K87 G65:K65 G77:K77 G81:K81 E116:L116 E120:L120" xr:uid="{BCD59DB2-15C1-420C-9899-57EFA0D473E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91:B293" xr:uid="{0899748D-A14D-44AC-9B3D-EE7784D6B66C}">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05BB9120-2362-427C-9B3F-6329D1A1FCE4}">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4C02B-0B04-4449-B504-DC26FFB75602}">
  <sheetPr>
    <tabColor rgb="FF92D050"/>
    <pageSetUpPr fitToPage="1"/>
  </sheetPr>
  <dimension ref="A1:S299"/>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PROTECTED</v>
      </c>
      <c r="C2" s="12"/>
      <c r="D2" s="12"/>
      <c r="O2" s="262" t="s">
        <v>93</v>
      </c>
      <c r="P2" s="262" t="s">
        <v>109</v>
      </c>
    </row>
    <row r="3" spans="1:16" x14ac:dyDescent="0.3">
      <c r="B3" s="13"/>
      <c r="C3" s="13"/>
      <c r="D3" s="13"/>
      <c r="O3" s="2"/>
      <c r="P3" s="2"/>
    </row>
    <row r="4" spans="1:16" s="2" customFormat="1" x14ac:dyDescent="0.3">
      <c r="A4" s="33"/>
      <c r="B4" s="588" t="str">
        <f>Info!B4</f>
        <v>IMPORTERS' QUESTIONNAIRE</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FORGED GRINDING MEDIA</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x14ac:dyDescent="0.3">
      <c r="A9" s="33"/>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x14ac:dyDescent="0.3">
      <c r="A10" s="33"/>
      <c r="B10" s="633" t="str">
        <f>IF(Intro!$G$20="English",O10,P10)</f>
        <v>Use one numbered "Imp-Exp" tab for each exporter your firm imported from. To acquire additional "Imp-Exp" tabs, contact a case analyst identified on the "Intro" tab.</v>
      </c>
      <c r="C10" s="634"/>
      <c r="D10" s="634"/>
      <c r="E10" s="634"/>
      <c r="F10" s="634"/>
      <c r="G10" s="634"/>
      <c r="H10" s="634"/>
      <c r="I10" s="634"/>
      <c r="J10" s="634"/>
      <c r="K10" s="634"/>
      <c r="L10" s="635"/>
      <c r="M10" s="19"/>
      <c r="N10" s="19"/>
      <c r="O10" s="10" t="s">
        <v>340</v>
      </c>
      <c r="P10" s="10" t="s">
        <v>339</v>
      </c>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For the questions in this tab, note the following:</v>
      </c>
      <c r="C12" s="634"/>
      <c r="D12" s="634"/>
      <c r="E12" s="634"/>
      <c r="F12" s="634"/>
      <c r="G12" s="634"/>
      <c r="H12" s="634"/>
      <c r="I12" s="634"/>
      <c r="J12" s="634"/>
      <c r="K12" s="634"/>
      <c r="L12" s="635"/>
      <c r="M12" s="19"/>
      <c r="N12" s="19"/>
      <c r="O12" s="15"/>
      <c r="P12" s="15"/>
    </row>
    <row r="13" spans="1:16" s="6" customFormat="1" x14ac:dyDescent="0.3">
      <c r="A13" s="33"/>
      <c r="B13" s="725" t="str">
        <f>Pro!B13</f>
        <v>• Report only sales from your firm’s imports. Sales of goods purchased from Canadian producers must be excluded.</v>
      </c>
      <c r="C13" s="726"/>
      <c r="D13" s="726"/>
      <c r="E13" s="726"/>
      <c r="F13" s="726"/>
      <c r="G13" s="726"/>
      <c r="H13" s="726"/>
      <c r="I13" s="726"/>
      <c r="J13" s="726"/>
      <c r="K13" s="726"/>
      <c r="L13" s="727"/>
      <c r="M13" s="19"/>
      <c r="N13" s="19"/>
      <c r="O13" s="15"/>
      <c r="P13" s="15"/>
    </row>
    <row r="14" spans="1:16" s="6" customFormat="1" x14ac:dyDescent="0.3">
      <c r="A14" s="33"/>
      <c r="B14" s="633" t="str">
        <f>Pro!B14</f>
        <v>• Report all sales to Canadian and foreign associated firms.</v>
      </c>
      <c r="C14" s="634"/>
      <c r="D14" s="634"/>
      <c r="E14" s="634"/>
      <c r="F14" s="634"/>
      <c r="G14" s="634"/>
      <c r="H14" s="634"/>
      <c r="I14" s="634"/>
      <c r="J14" s="634"/>
      <c r="K14" s="634"/>
      <c r="L14" s="635"/>
      <c r="M14" s="19"/>
      <c r="N14" s="19"/>
      <c r="O14" s="15"/>
      <c r="P14" s="15"/>
    </row>
    <row r="15" spans="1:16" s="6" customFormat="1" x14ac:dyDescent="0.3">
      <c r="A15" s="33"/>
      <c r="B15" s="633" t="str">
        <f>Pro!B15</f>
        <v>• Report all sales as of the date of shipment to the customer or the customer’s warehouse.</v>
      </c>
      <c r="C15" s="634"/>
      <c r="D15" s="634"/>
      <c r="E15" s="634"/>
      <c r="F15" s="634"/>
      <c r="G15" s="634"/>
      <c r="H15" s="634"/>
      <c r="I15" s="634"/>
      <c r="J15" s="634"/>
      <c r="K15" s="634"/>
      <c r="L15" s="635"/>
      <c r="M15" s="19"/>
      <c r="N15" s="19"/>
      <c r="O15" s="15"/>
      <c r="P15" s="15"/>
    </row>
    <row r="16" spans="1:16" s="6" customFormat="1" x14ac:dyDescent="0.3">
      <c r="A16" s="33"/>
      <c r="B16" s="633" t="str">
        <f>Pro!B16</f>
        <v>• Report all values in Canadian dollars.</v>
      </c>
      <c r="C16" s="634"/>
      <c r="D16" s="634"/>
      <c r="E16" s="634"/>
      <c r="F16" s="634"/>
      <c r="G16" s="634"/>
      <c r="H16" s="634"/>
      <c r="I16" s="634"/>
      <c r="J16" s="634"/>
      <c r="K16" s="634"/>
      <c r="L16" s="635"/>
      <c r="M16" s="19"/>
      <c r="N16" s="19"/>
      <c r="O16" s="15"/>
      <c r="P16" s="15"/>
    </row>
    <row r="17" spans="1:16" s="6" customFormat="1" x14ac:dyDescent="0.3">
      <c r="A17" s="33"/>
      <c r="B17" s="636" t="str">
        <f>IF(Intro!$G$20="English",O17,P17)</f>
        <v>• If your firm is an end user or a retailer, your firm does not need to report sales of imports or inventories of imports.</v>
      </c>
      <c r="C17" s="637"/>
      <c r="D17" s="637"/>
      <c r="E17" s="637"/>
      <c r="F17" s="637"/>
      <c r="G17" s="637"/>
      <c r="H17" s="637"/>
      <c r="I17" s="637"/>
      <c r="J17" s="637"/>
      <c r="K17" s="637"/>
      <c r="L17" s="638"/>
      <c r="M17" s="19"/>
      <c r="N17" s="19"/>
      <c r="O17" s="15" t="s">
        <v>264</v>
      </c>
      <c r="P17" s="15" t="s">
        <v>265</v>
      </c>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IMPORTS AND SALES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Provide your firm's imports and sales of imports of the goods from: </v>
      </c>
      <c r="C22" s="719"/>
      <c r="D22" s="719"/>
      <c r="E22" s="719"/>
      <c r="F22" s="719"/>
      <c r="G22" s="745" t="str">
        <f>Variables!D47</f>
        <v>China</v>
      </c>
      <c r="H22" s="745"/>
      <c r="I22" s="745"/>
      <c r="J22" s="745"/>
      <c r="K22" s="745"/>
      <c r="L22" s="260"/>
      <c r="M22" s="10"/>
      <c r="O22" s="10" t="s">
        <v>284</v>
      </c>
      <c r="P22" s="10" t="s">
        <v>285</v>
      </c>
    </row>
    <row r="23" spans="1:16" ht="15.6" x14ac:dyDescent="0.3">
      <c r="B23" s="747" t="str">
        <f>IF(Intro!$G$20="English",O23,P23)</f>
        <v xml:space="preserve">Exporter name: </v>
      </c>
      <c r="C23" s="748"/>
      <c r="D23" s="748"/>
      <c r="E23" s="748"/>
      <c r="F23" s="748"/>
      <c r="G23" s="746"/>
      <c r="H23" s="746"/>
      <c r="I23" s="746"/>
      <c r="J23" s="746"/>
      <c r="K23" s="746"/>
      <c r="L23" s="260"/>
      <c r="M23" s="10"/>
      <c r="O23" s="10" t="s">
        <v>167</v>
      </c>
      <c r="P23" s="10" t="s">
        <v>168</v>
      </c>
    </row>
    <row r="24" spans="1:16" x14ac:dyDescent="0.3">
      <c r="B24" s="135"/>
      <c r="C24" s="136"/>
      <c r="D24" s="136"/>
      <c r="E24" s="136"/>
      <c r="F24" s="136"/>
      <c r="G24" s="36"/>
      <c r="H24" s="36"/>
      <c r="I24" s="36"/>
      <c r="J24" s="36"/>
      <c r="K24" s="36"/>
      <c r="L24" s="17"/>
      <c r="M24" s="10"/>
    </row>
    <row r="25" spans="1:16" x14ac:dyDescent="0.3">
      <c r="B25" s="737" t="str">
        <f>IF(Intro!$G$20="English",O25,P25)</f>
        <v>Forged</v>
      </c>
      <c r="C25" s="738"/>
      <c r="D25" s="738"/>
      <c r="E25" s="738"/>
      <c r="F25" s="739"/>
      <c r="G25" s="266">
        <f>Variables!$B$6</f>
        <v>2023</v>
      </c>
      <c r="H25" s="266">
        <f>G25+1</f>
        <v>2024</v>
      </c>
      <c r="I25" s="266">
        <f>H25+1</f>
        <v>2025</v>
      </c>
      <c r="J25" s="266" t="str">
        <f>IF(Intro!$G$20="English",Variables!B9,Variables!C9)</f>
        <v>Jan-Mar 2025</v>
      </c>
      <c r="K25" s="266" t="str">
        <f>IF(Intro!$G$20="English",Variables!B10,Variables!C10)</f>
        <v>Jan-Mar 2026</v>
      </c>
      <c r="L25" s="71"/>
      <c r="M25" s="10"/>
      <c r="O25" s="18" t="str">
        <f>Variables!B70</f>
        <v>Forged</v>
      </c>
      <c r="P25" s="18" t="str">
        <f>Variables!C70</f>
        <v>Forgeage</v>
      </c>
    </row>
    <row r="26" spans="1:16" s="262" customFormat="1" x14ac:dyDescent="0.3">
      <c r="A26" s="32"/>
      <c r="B26" s="740" t="str">
        <f>IF(Intro!$G$20="English",O26,P26)</f>
        <v>Imports in Canada</v>
      </c>
      <c r="C26" s="741"/>
      <c r="D26" s="741"/>
      <c r="E26" s="741"/>
      <c r="F26" s="741"/>
      <c r="G26" s="741"/>
      <c r="H26" s="741"/>
      <c r="I26" s="741"/>
      <c r="J26" s="741"/>
      <c r="K26" s="741"/>
      <c r="L26" s="71"/>
      <c r="O26" s="26" t="s">
        <v>233</v>
      </c>
      <c r="P26" s="262" t="s">
        <v>234</v>
      </c>
    </row>
    <row r="27" spans="1:16" x14ac:dyDescent="0.3">
      <c r="B27" s="733" t="str">
        <f>IF(Intro!$G$20="English",O27,P27)</f>
        <v>Imports</v>
      </c>
      <c r="C27" s="734"/>
      <c r="D27" s="744" t="str">
        <f>IF(Intro!$G$20="English",Variables!$B$23,Variables!$C$23)</f>
        <v>tonnes</v>
      </c>
      <c r="E27" s="744"/>
      <c r="F27" s="744"/>
      <c r="G27" s="137"/>
      <c r="H27" s="137"/>
      <c r="I27" s="137"/>
      <c r="J27" s="137"/>
      <c r="K27" s="131"/>
      <c r="L27" s="71"/>
      <c r="M27" s="10"/>
      <c r="O27" s="10" t="s">
        <v>91</v>
      </c>
      <c r="P27" s="10" t="s">
        <v>169</v>
      </c>
    </row>
    <row r="28" spans="1:16" x14ac:dyDescent="0.3">
      <c r="B28" s="733"/>
      <c r="C28" s="734"/>
      <c r="D28" s="744" t="str">
        <f>IF(Intro!$G$20="English",O28,P28)</f>
        <v>net delivered purchase value (CAD)</v>
      </c>
      <c r="E28" s="744"/>
      <c r="F28" s="744"/>
      <c r="G28" s="137"/>
      <c r="H28" s="137"/>
      <c r="I28" s="137"/>
      <c r="J28" s="137"/>
      <c r="K28" s="131"/>
      <c r="L28" s="71"/>
      <c r="M28" s="10"/>
      <c r="O28" s="10" t="s">
        <v>342</v>
      </c>
      <c r="P28" s="10" t="s">
        <v>341</v>
      </c>
    </row>
    <row r="29" spans="1:16" x14ac:dyDescent="0.3">
      <c r="B29" s="733"/>
      <c r="C29" s="734"/>
      <c r="D29" s="744" t="str">
        <f>"$ / "&amp;IF(Intro!$G$20="English",Variables!$B$24,Variables!$C$24)</f>
        <v>$ / tonne</v>
      </c>
      <c r="E29" s="744"/>
      <c r="F29" s="744"/>
      <c r="G29" s="288" t="str">
        <f>IF(G27=0,"-",G28/G27)</f>
        <v>-</v>
      </c>
      <c r="H29" s="288" t="str">
        <f>IF(H27=0,"-",H28/H27)</f>
        <v>-</v>
      </c>
      <c r="I29" s="288" t="str">
        <f t="shared" ref="I29:K29" si="0">IF(I27=0,"-",I28/I27)</f>
        <v>-</v>
      </c>
      <c r="J29" s="288" t="str">
        <f t="shared" si="0"/>
        <v>-</v>
      </c>
      <c r="K29" s="288" t="str">
        <f t="shared" si="0"/>
        <v>-</v>
      </c>
      <c r="L29" s="71"/>
      <c r="M29" s="10"/>
    </row>
    <row r="30" spans="1:16" s="262" customFormat="1" x14ac:dyDescent="0.3">
      <c r="A30" s="32"/>
      <c r="B30" s="742" t="str">
        <f>IF(Intro!$G$20="English",O30,P30)</f>
        <v>Sales in Canada</v>
      </c>
      <c r="C30" s="743"/>
      <c r="D30" s="743"/>
      <c r="E30" s="743"/>
      <c r="F30" s="743"/>
      <c r="G30" s="743"/>
      <c r="H30" s="743"/>
      <c r="I30" s="743"/>
      <c r="J30" s="743"/>
      <c r="K30" s="743"/>
      <c r="L30" s="71"/>
      <c r="O30" s="26" t="s">
        <v>235</v>
      </c>
      <c r="P30" s="262" t="s">
        <v>236</v>
      </c>
    </row>
    <row r="31" spans="1:16" x14ac:dyDescent="0.3">
      <c r="B31" s="540" t="str">
        <f>IF(Intro!$G$20="English",O31,P31)</f>
        <v>Sales to end users in Canada</v>
      </c>
      <c r="C31" s="541"/>
      <c r="D31" s="744" t="str">
        <f>D27</f>
        <v>tonnes</v>
      </c>
      <c r="E31" s="744"/>
      <c r="F31" s="744"/>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44" t="str">
        <f>IF(Intro!$G$20="English",O32,P32)</f>
        <v>net delivered selling value (CAD)</v>
      </c>
      <c r="E32" s="744"/>
      <c r="F32" s="744"/>
      <c r="G32" s="137"/>
      <c r="H32" s="137"/>
      <c r="I32" s="137"/>
      <c r="J32" s="137"/>
      <c r="K32" s="131"/>
      <c r="L32" s="71"/>
      <c r="M32" s="10"/>
      <c r="O32" s="10" t="s">
        <v>344</v>
      </c>
      <c r="P32" s="10" t="s">
        <v>343</v>
      </c>
    </row>
    <row r="33" spans="1:16" ht="15" thickBot="1" x14ac:dyDescent="0.35">
      <c r="B33" s="752"/>
      <c r="C33" s="753"/>
      <c r="D33" s="769" t="str">
        <f>D29</f>
        <v>$ / tonne</v>
      </c>
      <c r="E33" s="769"/>
      <c r="F33" s="769"/>
      <c r="G33" s="156" t="str">
        <f>IF(G31=0,"-",G32/G31)</f>
        <v>-</v>
      </c>
      <c r="H33" s="156" t="str">
        <f>IF(H31=0,"-",H32/H31)</f>
        <v>-</v>
      </c>
      <c r="I33" s="156" t="str">
        <f t="shared" ref="I33:K33" si="1">IF(I31=0,"-",I32/I31)</f>
        <v>-</v>
      </c>
      <c r="J33" s="156" t="str">
        <f t="shared" si="1"/>
        <v>-</v>
      </c>
      <c r="K33" s="156" t="str">
        <f t="shared" si="1"/>
        <v>-</v>
      </c>
      <c r="L33" s="71"/>
      <c r="M33" s="10"/>
    </row>
    <row r="34" spans="1:16" x14ac:dyDescent="0.3">
      <c r="B34" s="754" t="str">
        <f>IF(Intro!$G$20="English",O34,P34)</f>
        <v>Sales to other in Canada</v>
      </c>
      <c r="C34" s="755"/>
      <c r="D34" s="770" t="str">
        <f t="shared" ref="D34:D36" si="2">D31</f>
        <v>tonnes</v>
      </c>
      <c r="E34" s="770"/>
      <c r="F34" s="770"/>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44" t="str">
        <f t="shared" si="2"/>
        <v>net delivered selling value (CAD)</v>
      </c>
      <c r="E35" s="744"/>
      <c r="F35" s="744"/>
      <c r="G35" s="137"/>
      <c r="H35" s="137"/>
      <c r="I35" s="137"/>
      <c r="J35" s="137"/>
      <c r="K35" s="131"/>
      <c r="L35" s="71"/>
      <c r="M35" s="10"/>
    </row>
    <row r="36" spans="1:16" ht="15" thickBot="1" x14ac:dyDescent="0.35">
      <c r="B36" s="752"/>
      <c r="C36" s="753"/>
      <c r="D36" s="769" t="str">
        <f t="shared" si="2"/>
        <v>$ / tonne</v>
      </c>
      <c r="E36" s="769"/>
      <c r="F36" s="769"/>
      <c r="G36" s="288" t="str">
        <f>IF(G34=0,"-",G35/G34)</f>
        <v>-</v>
      </c>
      <c r="H36" s="288" t="str">
        <f>IF(H34=0,"-",H35/H34)</f>
        <v>-</v>
      </c>
      <c r="I36" s="288" t="str">
        <f t="shared" ref="I36:K36" si="3">IF(I34=0,"-",I35/I34)</f>
        <v>-</v>
      </c>
      <c r="J36" s="288" t="str">
        <f t="shared" si="3"/>
        <v>-</v>
      </c>
      <c r="K36" s="288" t="str">
        <f t="shared" si="3"/>
        <v>-</v>
      </c>
      <c r="L36" s="71"/>
      <c r="M36" s="10"/>
    </row>
    <row r="37" spans="1:16" x14ac:dyDescent="0.3">
      <c r="B37" s="607" t="str">
        <f>IF(Intro!$G$20="English",O37,P37)</f>
        <v>Total sales in Canada</v>
      </c>
      <c r="C37" s="608"/>
      <c r="D37" s="749" t="str">
        <f>D34</f>
        <v>tonnes</v>
      </c>
      <c r="E37" s="749"/>
      <c r="F37" s="749"/>
      <c r="G37" s="139">
        <f t="shared" ref="G37:K38" si="4">G31+G34</f>
        <v>0</v>
      </c>
      <c r="H37" s="139">
        <f t="shared" si="4"/>
        <v>0</v>
      </c>
      <c r="I37" s="139">
        <f t="shared" si="4"/>
        <v>0</v>
      </c>
      <c r="J37" s="139">
        <f t="shared" si="4"/>
        <v>0</v>
      </c>
      <c r="K37" s="139">
        <f t="shared" si="4"/>
        <v>0</v>
      </c>
      <c r="L37" s="71"/>
      <c r="M37" s="10"/>
      <c r="O37" s="10" t="s">
        <v>345</v>
      </c>
      <c r="P37" s="10" t="s">
        <v>346</v>
      </c>
    </row>
    <row r="38" spans="1:16" x14ac:dyDescent="0.3">
      <c r="B38" s="596"/>
      <c r="C38" s="597"/>
      <c r="D38" s="771" t="str">
        <f>D35</f>
        <v>net delivered selling value (CAD)</v>
      </c>
      <c r="E38" s="771"/>
      <c r="F38" s="771"/>
      <c r="G38" s="138">
        <f t="shared" si="4"/>
        <v>0</v>
      </c>
      <c r="H38" s="138">
        <f t="shared" si="4"/>
        <v>0</v>
      </c>
      <c r="I38" s="138">
        <f t="shared" si="4"/>
        <v>0</v>
      </c>
      <c r="J38" s="138">
        <f t="shared" si="4"/>
        <v>0</v>
      </c>
      <c r="K38" s="138">
        <f t="shared" si="4"/>
        <v>0</v>
      </c>
      <c r="L38" s="71"/>
      <c r="M38" s="10"/>
    </row>
    <row r="39" spans="1:16" x14ac:dyDescent="0.3">
      <c r="B39" s="596"/>
      <c r="C39" s="597"/>
      <c r="D39" s="771" t="str">
        <f>D36</f>
        <v>$ / tonne</v>
      </c>
      <c r="E39" s="771"/>
      <c r="F39" s="771"/>
      <c r="G39" s="288" t="str">
        <f>IF(G37=0,"-",G38/G37)</f>
        <v>-</v>
      </c>
      <c r="H39" s="288" t="str">
        <f>IF(H37=0,"-",H38/H37)</f>
        <v>-</v>
      </c>
      <c r="I39" s="288" t="str">
        <f t="shared" ref="I39:K39" si="5">IF(I37=0,"-",I38/I37)</f>
        <v>-</v>
      </c>
      <c r="J39" s="288" t="str">
        <f t="shared" si="5"/>
        <v>-</v>
      </c>
      <c r="K39" s="288" t="str">
        <f t="shared" si="5"/>
        <v>-</v>
      </c>
      <c r="L39" s="71"/>
      <c r="M39" s="10"/>
    </row>
    <row r="40" spans="1:16" x14ac:dyDescent="0.3">
      <c r="B40" s="135"/>
      <c r="C40" s="136"/>
      <c r="D40" s="136"/>
      <c r="E40" s="136"/>
      <c r="F40" s="136"/>
      <c r="G40" s="36"/>
      <c r="H40" s="36"/>
      <c r="I40" s="36"/>
      <c r="J40" s="36"/>
      <c r="K40" s="36"/>
      <c r="L40" s="17"/>
      <c r="M40" s="10"/>
    </row>
    <row r="41" spans="1:16" x14ac:dyDescent="0.3">
      <c r="B41" s="737" t="str">
        <f>IF(Intro!$G$20="English",O41,P41)</f>
        <v>Stamped</v>
      </c>
      <c r="C41" s="738"/>
      <c r="D41" s="738"/>
      <c r="E41" s="738"/>
      <c r="F41" s="739"/>
      <c r="G41" s="266">
        <f>G25</f>
        <v>2023</v>
      </c>
      <c r="H41" s="266">
        <f>H25</f>
        <v>2024</v>
      </c>
      <c r="I41" s="266">
        <f t="shared" ref="I41:K41" si="6">I25</f>
        <v>2025</v>
      </c>
      <c r="J41" s="266" t="str">
        <f t="shared" si="6"/>
        <v>Jan-Mar 2025</v>
      </c>
      <c r="K41" s="266" t="str">
        <f t="shared" si="6"/>
        <v>Jan-Mar 2026</v>
      </c>
      <c r="L41" s="71"/>
      <c r="M41" s="10"/>
      <c r="O41" s="18" t="str">
        <f>Variables!B71</f>
        <v>Stamped</v>
      </c>
      <c r="P41" s="18" t="str">
        <f>Variables!C71</f>
        <v>Estampage</v>
      </c>
    </row>
    <row r="42" spans="1:16" s="262" customFormat="1" x14ac:dyDescent="0.3">
      <c r="A42" s="32"/>
      <c r="B42" s="740" t="str">
        <f>IF(Intro!$G$20="English",O42,P42)</f>
        <v>Imports in Canada</v>
      </c>
      <c r="C42" s="741"/>
      <c r="D42" s="741"/>
      <c r="E42" s="741"/>
      <c r="F42" s="741"/>
      <c r="G42" s="741"/>
      <c r="H42" s="741"/>
      <c r="I42" s="741"/>
      <c r="J42" s="741"/>
      <c r="K42" s="741"/>
      <c r="L42" s="71"/>
      <c r="O42" s="26" t="s">
        <v>233</v>
      </c>
      <c r="P42" s="262" t="s">
        <v>234</v>
      </c>
    </row>
    <row r="43" spans="1:16" x14ac:dyDescent="0.3">
      <c r="B43" s="733" t="str">
        <f>IF(Intro!$G$20="English",O43,P43)</f>
        <v>Imports</v>
      </c>
      <c r="C43" s="734"/>
      <c r="D43" s="744" t="str">
        <f>IF(Intro!$G$20="English",Variables!$B$23,Variables!$C$23)</f>
        <v>tonnes</v>
      </c>
      <c r="E43" s="744"/>
      <c r="F43" s="744"/>
      <c r="G43" s="137"/>
      <c r="H43" s="137"/>
      <c r="I43" s="137"/>
      <c r="J43" s="137"/>
      <c r="K43" s="131"/>
      <c r="L43" s="71"/>
      <c r="M43" s="10"/>
      <c r="O43" s="10" t="s">
        <v>91</v>
      </c>
      <c r="P43" s="10" t="s">
        <v>169</v>
      </c>
    </row>
    <row r="44" spans="1:16" x14ac:dyDescent="0.3">
      <c r="B44" s="733"/>
      <c r="C44" s="734"/>
      <c r="D44" s="744" t="str">
        <f>IF(Intro!$G$20="English",O44,P44)</f>
        <v>net delivered purchase value (CAD)</v>
      </c>
      <c r="E44" s="744"/>
      <c r="F44" s="744"/>
      <c r="G44" s="137"/>
      <c r="H44" s="137"/>
      <c r="I44" s="137"/>
      <c r="J44" s="137"/>
      <c r="K44" s="131"/>
      <c r="L44" s="71"/>
      <c r="M44" s="10"/>
      <c r="O44" s="10" t="s">
        <v>342</v>
      </c>
      <c r="P44" s="10" t="s">
        <v>341</v>
      </c>
    </row>
    <row r="45" spans="1:16" x14ac:dyDescent="0.3">
      <c r="B45" s="733"/>
      <c r="C45" s="734"/>
      <c r="D45" s="744" t="str">
        <f>"$ / "&amp;IF(Intro!$G$20="English",Variables!$B$24,Variables!$C$24)</f>
        <v>$ / tonne</v>
      </c>
      <c r="E45" s="744"/>
      <c r="F45" s="744"/>
      <c r="G45" s="288" t="str">
        <f>IF(G43=0,"-",G44/G43)</f>
        <v>-</v>
      </c>
      <c r="H45" s="288" t="str">
        <f>IF(H43=0,"-",H44/H43)</f>
        <v>-</v>
      </c>
      <c r="I45" s="288" t="str">
        <f t="shared" ref="I45:K45" si="7">IF(I43=0,"-",I44/I43)</f>
        <v>-</v>
      </c>
      <c r="J45" s="288" t="str">
        <f t="shared" si="7"/>
        <v>-</v>
      </c>
      <c r="K45" s="288" t="str">
        <f t="shared" si="7"/>
        <v>-</v>
      </c>
      <c r="L45" s="71"/>
      <c r="M45" s="10"/>
    </row>
    <row r="46" spans="1:16" s="262" customFormat="1" x14ac:dyDescent="0.3">
      <c r="A46" s="32"/>
      <c r="B46" s="742" t="str">
        <f>IF(Intro!$G$20="English",O46,P46)</f>
        <v>Sales in Canada</v>
      </c>
      <c r="C46" s="743"/>
      <c r="D46" s="743"/>
      <c r="E46" s="743"/>
      <c r="F46" s="743"/>
      <c r="G46" s="743"/>
      <c r="H46" s="743"/>
      <c r="I46" s="743"/>
      <c r="J46" s="743"/>
      <c r="K46" s="743"/>
      <c r="L46" s="71"/>
      <c r="O46" s="26" t="s">
        <v>235</v>
      </c>
      <c r="P46" s="262" t="s">
        <v>236</v>
      </c>
    </row>
    <row r="47" spans="1:16" x14ac:dyDescent="0.3">
      <c r="B47" s="540" t="str">
        <f>IF(Intro!$G$20="English",O47,P47)</f>
        <v>Sales to end users in Canada</v>
      </c>
      <c r="C47" s="541"/>
      <c r="D47" s="744" t="str">
        <f>D43</f>
        <v>tonnes</v>
      </c>
      <c r="E47" s="744"/>
      <c r="F47" s="744"/>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44" t="str">
        <f>IF(Intro!$G$20="English",O48,P48)</f>
        <v>net delivered selling value (CAD)</v>
      </c>
      <c r="E48" s="744"/>
      <c r="F48" s="744"/>
      <c r="G48" s="137"/>
      <c r="H48" s="137"/>
      <c r="I48" s="137"/>
      <c r="J48" s="137"/>
      <c r="K48" s="131"/>
      <c r="L48" s="71"/>
      <c r="M48" s="10"/>
      <c r="O48" s="10" t="s">
        <v>344</v>
      </c>
      <c r="P48" s="10" t="s">
        <v>343</v>
      </c>
    </row>
    <row r="49" spans="1:16" ht="15" thickBot="1" x14ac:dyDescent="0.35">
      <c r="B49" s="752"/>
      <c r="C49" s="753"/>
      <c r="D49" s="769" t="str">
        <f>D45</f>
        <v>$ / tonne</v>
      </c>
      <c r="E49" s="769"/>
      <c r="F49" s="769"/>
      <c r="G49" s="156" t="str">
        <f>IF(G47=0,"-",G48/G47)</f>
        <v>-</v>
      </c>
      <c r="H49" s="156" t="str">
        <f>IF(H47=0,"-",H48/H47)</f>
        <v>-</v>
      </c>
      <c r="I49" s="156" t="str">
        <f t="shared" ref="I49:K49" si="8">IF(I47=0,"-",I48/I47)</f>
        <v>-</v>
      </c>
      <c r="J49" s="156" t="str">
        <f t="shared" si="8"/>
        <v>-</v>
      </c>
      <c r="K49" s="156" t="str">
        <f t="shared" si="8"/>
        <v>-</v>
      </c>
      <c r="L49" s="71"/>
      <c r="M49" s="10"/>
    </row>
    <row r="50" spans="1:16" x14ac:dyDescent="0.3">
      <c r="B50" s="754" t="str">
        <f>IF(Intro!$G$20="English",O50,P50)</f>
        <v>Sales to other in Canada</v>
      </c>
      <c r="C50" s="755"/>
      <c r="D50" s="770" t="str">
        <f t="shared" ref="D50:D52" si="9">D47</f>
        <v>tonnes</v>
      </c>
      <c r="E50" s="770"/>
      <c r="F50" s="770"/>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44" t="str">
        <f t="shared" si="9"/>
        <v>net delivered selling value (CAD)</v>
      </c>
      <c r="E51" s="744"/>
      <c r="F51" s="744"/>
      <c r="G51" s="137"/>
      <c r="H51" s="137"/>
      <c r="I51" s="137"/>
      <c r="J51" s="137"/>
      <c r="K51" s="131"/>
      <c r="L51" s="71"/>
      <c r="M51" s="10"/>
    </row>
    <row r="52" spans="1:16" ht="15" thickBot="1" x14ac:dyDescent="0.35">
      <c r="B52" s="752"/>
      <c r="C52" s="753"/>
      <c r="D52" s="769" t="str">
        <f t="shared" si="9"/>
        <v>$ / tonne</v>
      </c>
      <c r="E52" s="769"/>
      <c r="F52" s="769"/>
      <c r="G52" s="288" t="str">
        <f>IF(G50=0,"-",G51/G50)</f>
        <v>-</v>
      </c>
      <c r="H52" s="288" t="str">
        <f>IF(H50=0,"-",H51/H50)</f>
        <v>-</v>
      </c>
      <c r="I52" s="288" t="str">
        <f t="shared" ref="I52:K52" si="10">IF(I50=0,"-",I51/I50)</f>
        <v>-</v>
      </c>
      <c r="J52" s="288" t="str">
        <f t="shared" si="10"/>
        <v>-</v>
      </c>
      <c r="K52" s="288" t="str">
        <f t="shared" si="10"/>
        <v>-</v>
      </c>
      <c r="L52" s="71"/>
      <c r="M52" s="10"/>
    </row>
    <row r="53" spans="1:16" x14ac:dyDescent="0.3">
      <c r="B53" s="607" t="str">
        <f>IF(Intro!$G$20="English",O53,P53)</f>
        <v>Total sales in Canada</v>
      </c>
      <c r="C53" s="608"/>
      <c r="D53" s="749" t="str">
        <f>D50</f>
        <v>tonnes</v>
      </c>
      <c r="E53" s="749"/>
      <c r="F53" s="749"/>
      <c r="G53" s="139">
        <f t="shared" ref="G53:K53" si="11">G47+G50</f>
        <v>0</v>
      </c>
      <c r="H53" s="139">
        <f t="shared" si="11"/>
        <v>0</v>
      </c>
      <c r="I53" s="139">
        <f t="shared" si="11"/>
        <v>0</v>
      </c>
      <c r="J53" s="139">
        <f t="shared" si="11"/>
        <v>0</v>
      </c>
      <c r="K53" s="139">
        <f t="shared" si="11"/>
        <v>0</v>
      </c>
      <c r="L53" s="71"/>
      <c r="M53" s="10"/>
      <c r="O53" s="10" t="s">
        <v>345</v>
      </c>
      <c r="P53" s="10" t="s">
        <v>346</v>
      </c>
    </row>
    <row r="54" spans="1:16" x14ac:dyDescent="0.3">
      <c r="B54" s="596"/>
      <c r="C54" s="597"/>
      <c r="D54" s="771" t="str">
        <f>D51</f>
        <v>net delivered selling value (CAD)</v>
      </c>
      <c r="E54" s="771"/>
      <c r="F54" s="771"/>
      <c r="G54" s="138">
        <f t="shared" ref="G54:K54" si="12">G48+G51</f>
        <v>0</v>
      </c>
      <c r="H54" s="138">
        <f t="shared" si="12"/>
        <v>0</v>
      </c>
      <c r="I54" s="138">
        <f t="shared" si="12"/>
        <v>0</v>
      </c>
      <c r="J54" s="138">
        <f t="shared" si="12"/>
        <v>0</v>
      </c>
      <c r="K54" s="138">
        <f t="shared" si="12"/>
        <v>0</v>
      </c>
      <c r="L54" s="71"/>
      <c r="M54" s="10"/>
    </row>
    <row r="55" spans="1:16" x14ac:dyDescent="0.3">
      <c r="B55" s="596"/>
      <c r="C55" s="597"/>
      <c r="D55" s="771" t="str">
        <f>D52</f>
        <v>$ / tonne</v>
      </c>
      <c r="E55" s="771"/>
      <c r="F55" s="771"/>
      <c r="G55" s="288" t="str">
        <f>IF(G53=0,"-",G54/G53)</f>
        <v>-</v>
      </c>
      <c r="H55" s="288" t="str">
        <f>IF(H53=0,"-",H54/H53)</f>
        <v>-</v>
      </c>
      <c r="I55" s="288" t="str">
        <f t="shared" ref="I55:K55" si="13">IF(I53=0,"-",I54/I53)</f>
        <v>-</v>
      </c>
      <c r="J55" s="288" t="str">
        <f t="shared" si="13"/>
        <v>-</v>
      </c>
      <c r="K55" s="288" t="str">
        <f t="shared" si="13"/>
        <v>-</v>
      </c>
      <c r="L55" s="71"/>
      <c r="M55" s="10"/>
    </row>
    <row r="56" spans="1:16" x14ac:dyDescent="0.3">
      <c r="B56" s="135"/>
      <c r="C56" s="136"/>
      <c r="D56" s="136"/>
      <c r="E56" s="136"/>
      <c r="F56" s="136"/>
      <c r="G56" s="36"/>
      <c r="H56" s="36"/>
      <c r="I56" s="36"/>
      <c r="J56" s="36"/>
      <c r="K56" s="36"/>
      <c r="L56" s="17"/>
      <c r="M56" s="10"/>
    </row>
    <row r="57" spans="1:16" x14ac:dyDescent="0.3">
      <c r="B57" s="737" t="str">
        <f>IF(Intro!$G$20="English",O57,P57)</f>
        <v>Unfinished (Green Balls)</v>
      </c>
      <c r="C57" s="738"/>
      <c r="D57" s="738"/>
      <c r="E57" s="738"/>
      <c r="F57" s="739"/>
      <c r="G57" s="266">
        <f>G41</f>
        <v>2023</v>
      </c>
      <c r="H57" s="266">
        <f>H41</f>
        <v>2024</v>
      </c>
      <c r="I57" s="266">
        <f t="shared" ref="I57:K57" si="14">I41</f>
        <v>2025</v>
      </c>
      <c r="J57" s="266" t="str">
        <f t="shared" si="14"/>
        <v>Jan-Mar 2025</v>
      </c>
      <c r="K57" s="266" t="str">
        <f t="shared" si="14"/>
        <v>Jan-Mar 2026</v>
      </c>
      <c r="L57" s="71"/>
      <c r="M57" s="10"/>
      <c r="O57" s="18" t="str">
        <f>Variables!B72</f>
        <v>Unfinished (Green Balls)</v>
      </c>
      <c r="P57" s="18" t="str">
        <f>Variables!C72</f>
        <v>Non finis (les boulets verts)</v>
      </c>
    </row>
    <row r="58" spans="1:16" s="262" customFormat="1" x14ac:dyDescent="0.3">
      <c r="A58" s="32"/>
      <c r="B58" s="740" t="str">
        <f>IF(Intro!$G$20="English",O58,P58)</f>
        <v>Imports in Canada</v>
      </c>
      <c r="C58" s="741"/>
      <c r="D58" s="741"/>
      <c r="E58" s="741"/>
      <c r="F58" s="741"/>
      <c r="G58" s="741"/>
      <c r="H58" s="741"/>
      <c r="I58" s="741"/>
      <c r="J58" s="741"/>
      <c r="K58" s="741"/>
      <c r="L58" s="71"/>
      <c r="O58" s="26" t="s">
        <v>233</v>
      </c>
      <c r="P58" s="262" t="s">
        <v>234</v>
      </c>
    </row>
    <row r="59" spans="1:16" x14ac:dyDescent="0.3">
      <c r="B59" s="733" t="str">
        <f>IF(Intro!$G$20="English",O59,P59)</f>
        <v>Imports</v>
      </c>
      <c r="C59" s="734"/>
      <c r="D59" s="744" t="str">
        <f>IF(Intro!$G$20="English",Variables!$B$23,Variables!$C$23)</f>
        <v>tonnes</v>
      </c>
      <c r="E59" s="744"/>
      <c r="F59" s="744"/>
      <c r="G59" s="137"/>
      <c r="H59" s="137"/>
      <c r="I59" s="137"/>
      <c r="J59" s="137"/>
      <c r="K59" s="131"/>
      <c r="L59" s="71"/>
      <c r="M59" s="10"/>
      <c r="O59" s="10" t="s">
        <v>91</v>
      </c>
      <c r="P59" s="10" t="s">
        <v>169</v>
      </c>
    </row>
    <row r="60" spans="1:16" x14ac:dyDescent="0.3">
      <c r="B60" s="733"/>
      <c r="C60" s="734"/>
      <c r="D60" s="744" t="str">
        <f>IF(Intro!$G$20="English",O60,P60)</f>
        <v>net delivered purchase value (CAD)</v>
      </c>
      <c r="E60" s="744"/>
      <c r="F60" s="744"/>
      <c r="G60" s="137"/>
      <c r="H60" s="137"/>
      <c r="I60" s="137"/>
      <c r="J60" s="137"/>
      <c r="K60" s="131"/>
      <c r="L60" s="71"/>
      <c r="M60" s="10"/>
      <c r="O60" s="10" t="s">
        <v>342</v>
      </c>
      <c r="P60" s="10" t="s">
        <v>341</v>
      </c>
    </row>
    <row r="61" spans="1:16" x14ac:dyDescent="0.3">
      <c r="B61" s="733"/>
      <c r="C61" s="734"/>
      <c r="D61" s="744" t="str">
        <f>"$ / "&amp;IF(Intro!$G$20="English",Variables!$B$24,Variables!$C$24)</f>
        <v>$ / tonne</v>
      </c>
      <c r="E61" s="744"/>
      <c r="F61" s="744"/>
      <c r="G61" s="288" t="str">
        <f>IF(G59=0,"-",G60/G59)</f>
        <v>-</v>
      </c>
      <c r="H61" s="288" t="str">
        <f>IF(H59=0,"-",H60/H59)</f>
        <v>-</v>
      </c>
      <c r="I61" s="288" t="str">
        <f t="shared" ref="I61:K61" si="15">IF(I59=0,"-",I60/I59)</f>
        <v>-</v>
      </c>
      <c r="J61" s="288" t="str">
        <f t="shared" si="15"/>
        <v>-</v>
      </c>
      <c r="K61" s="288" t="str">
        <f t="shared" si="15"/>
        <v>-</v>
      </c>
      <c r="L61" s="71"/>
      <c r="M61" s="10"/>
    </row>
    <row r="62" spans="1:16" s="262" customFormat="1" x14ac:dyDescent="0.3">
      <c r="A62" s="32"/>
      <c r="B62" s="742" t="str">
        <f>IF(Intro!$G$20="English",O62,P62)</f>
        <v>Sales in Canada</v>
      </c>
      <c r="C62" s="743"/>
      <c r="D62" s="743"/>
      <c r="E62" s="743"/>
      <c r="F62" s="743"/>
      <c r="G62" s="743"/>
      <c r="H62" s="743"/>
      <c r="I62" s="743"/>
      <c r="J62" s="743"/>
      <c r="K62" s="743"/>
      <c r="L62" s="71"/>
      <c r="O62" s="26" t="s">
        <v>235</v>
      </c>
      <c r="P62" s="262" t="s">
        <v>236</v>
      </c>
    </row>
    <row r="63" spans="1:16" x14ac:dyDescent="0.3">
      <c r="B63" s="540" t="str">
        <f>IF(Intro!$G$20="English",O63,P63)</f>
        <v>Sales to end users in Canada</v>
      </c>
      <c r="C63" s="541"/>
      <c r="D63" s="744" t="str">
        <f>D59</f>
        <v>tonnes</v>
      </c>
      <c r="E63" s="744"/>
      <c r="F63" s="744"/>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44" t="str">
        <f>IF(Intro!$G$20="English",O64,P64)</f>
        <v>net delivered selling value (CAD)</v>
      </c>
      <c r="E64" s="744"/>
      <c r="F64" s="744"/>
      <c r="G64" s="137"/>
      <c r="H64" s="137"/>
      <c r="I64" s="137"/>
      <c r="J64" s="137"/>
      <c r="K64" s="131"/>
      <c r="L64" s="71"/>
      <c r="M64" s="10"/>
      <c r="O64" s="10" t="s">
        <v>344</v>
      </c>
      <c r="P64" s="10" t="s">
        <v>343</v>
      </c>
    </row>
    <row r="65" spans="1:16" ht="15" thickBot="1" x14ac:dyDescent="0.35">
      <c r="B65" s="752"/>
      <c r="C65" s="753"/>
      <c r="D65" s="769" t="str">
        <f>D61</f>
        <v>$ / tonne</v>
      </c>
      <c r="E65" s="769"/>
      <c r="F65" s="769"/>
      <c r="G65" s="288" t="str">
        <f>IF(G63=0,"-",G64/G63)</f>
        <v>-</v>
      </c>
      <c r="H65" s="288" t="str">
        <f>IF(H63=0,"-",H64/H63)</f>
        <v>-</v>
      </c>
      <c r="I65" s="288" t="str">
        <f t="shared" ref="I65:K65" si="16">IF(I63=0,"-",I64/I63)</f>
        <v>-</v>
      </c>
      <c r="J65" s="288" t="str">
        <f t="shared" si="16"/>
        <v>-</v>
      </c>
      <c r="K65" s="288" t="str">
        <f t="shared" si="16"/>
        <v>-</v>
      </c>
      <c r="L65" s="71"/>
      <c r="M65" s="10"/>
    </row>
    <row r="66" spans="1:16" x14ac:dyDescent="0.3">
      <c r="B66" s="754" t="str">
        <f>IF(Intro!$G$20="English",O66,P66)</f>
        <v>Sales to other in Canada</v>
      </c>
      <c r="C66" s="755"/>
      <c r="D66" s="770" t="str">
        <f t="shared" ref="D66:D68" si="17">D63</f>
        <v>tonnes</v>
      </c>
      <c r="E66" s="770"/>
      <c r="F66" s="770"/>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44" t="str">
        <f t="shared" si="17"/>
        <v>net delivered selling value (CAD)</v>
      </c>
      <c r="E67" s="744"/>
      <c r="F67" s="744"/>
      <c r="G67" s="137"/>
      <c r="H67" s="137"/>
      <c r="I67" s="137"/>
      <c r="J67" s="137"/>
      <c r="K67" s="131"/>
      <c r="L67" s="71"/>
      <c r="M67" s="10"/>
    </row>
    <row r="68" spans="1:16" ht="15" thickBot="1" x14ac:dyDescent="0.35">
      <c r="B68" s="752"/>
      <c r="C68" s="753"/>
      <c r="D68" s="769" t="str">
        <f t="shared" si="17"/>
        <v>$ / tonne</v>
      </c>
      <c r="E68" s="769"/>
      <c r="F68" s="769"/>
      <c r="G68" s="288" t="str">
        <f>IF(G66=0,"-",G67/G66)</f>
        <v>-</v>
      </c>
      <c r="H68" s="288" t="str">
        <f>IF(H66=0,"-",H67/H66)</f>
        <v>-</v>
      </c>
      <c r="I68" s="288" t="str">
        <f t="shared" ref="I68:K68" si="18">IF(I66=0,"-",I67/I66)</f>
        <v>-</v>
      </c>
      <c r="J68" s="288" t="str">
        <f t="shared" si="18"/>
        <v>-</v>
      </c>
      <c r="K68" s="288" t="str">
        <f t="shared" si="18"/>
        <v>-</v>
      </c>
      <c r="L68" s="71"/>
      <c r="M68" s="10"/>
    </row>
    <row r="69" spans="1:16" x14ac:dyDescent="0.3">
      <c r="B69" s="607" t="str">
        <f>IF(Intro!$G$20="English",O69,P69)</f>
        <v>Total sales in Canada</v>
      </c>
      <c r="C69" s="608"/>
      <c r="D69" s="749" t="str">
        <f>D66</f>
        <v>tonnes</v>
      </c>
      <c r="E69" s="749"/>
      <c r="F69" s="749"/>
      <c r="G69" s="139">
        <f t="shared" ref="G69:K69" si="19">G63+G66</f>
        <v>0</v>
      </c>
      <c r="H69" s="139">
        <f t="shared" si="19"/>
        <v>0</v>
      </c>
      <c r="I69" s="139">
        <f t="shared" si="19"/>
        <v>0</v>
      </c>
      <c r="J69" s="139">
        <f t="shared" si="19"/>
        <v>0</v>
      </c>
      <c r="K69" s="139">
        <f t="shared" si="19"/>
        <v>0</v>
      </c>
      <c r="L69" s="71"/>
      <c r="M69" s="10"/>
      <c r="O69" s="10" t="s">
        <v>345</v>
      </c>
      <c r="P69" s="10" t="s">
        <v>346</v>
      </c>
    </row>
    <row r="70" spans="1:16" x14ac:dyDescent="0.3">
      <c r="B70" s="596"/>
      <c r="C70" s="597"/>
      <c r="D70" s="771" t="str">
        <f>D67</f>
        <v>net delivered selling value (CAD)</v>
      </c>
      <c r="E70" s="771"/>
      <c r="F70" s="771"/>
      <c r="G70" s="138">
        <f t="shared" ref="G70:K70" si="20">G64+G67</f>
        <v>0</v>
      </c>
      <c r="H70" s="138">
        <f t="shared" si="20"/>
        <v>0</v>
      </c>
      <c r="I70" s="138">
        <f t="shared" si="20"/>
        <v>0</v>
      </c>
      <c r="J70" s="138">
        <f t="shared" si="20"/>
        <v>0</v>
      </c>
      <c r="K70" s="138">
        <f t="shared" si="20"/>
        <v>0</v>
      </c>
      <c r="L70" s="71"/>
      <c r="M70" s="10"/>
    </row>
    <row r="71" spans="1:16" x14ac:dyDescent="0.3">
      <c r="B71" s="596"/>
      <c r="C71" s="597"/>
      <c r="D71" s="771" t="str">
        <f>D68</f>
        <v>$ / tonne</v>
      </c>
      <c r="E71" s="771"/>
      <c r="F71" s="771"/>
      <c r="G71" s="288" t="str">
        <f>IF(G69=0,"-",G70/G69)</f>
        <v>-</v>
      </c>
      <c r="H71" s="288" t="str">
        <f>IF(H69=0,"-",H70/H69)</f>
        <v>-</v>
      </c>
      <c r="I71" s="288" t="str">
        <f t="shared" ref="I71:K71" si="21">IF(I69=0,"-",I70/I69)</f>
        <v>-</v>
      </c>
      <c r="J71" s="288" t="str">
        <f t="shared" si="21"/>
        <v>-</v>
      </c>
      <c r="K71" s="288" t="str">
        <f t="shared" si="21"/>
        <v>-</v>
      </c>
      <c r="L71" s="71"/>
      <c r="M71" s="10"/>
    </row>
    <row r="72" spans="1:16" hidden="1" x14ac:dyDescent="0.3">
      <c r="B72" s="135"/>
      <c r="C72" s="136"/>
      <c r="D72" s="136"/>
      <c r="E72" s="136"/>
      <c r="F72" s="136"/>
      <c r="G72" s="36"/>
      <c r="H72" s="36"/>
      <c r="I72" s="36"/>
      <c r="J72" s="36"/>
      <c r="K72" s="36"/>
      <c r="L72" s="17"/>
      <c r="M72" s="10"/>
    </row>
    <row r="73" spans="1:16" hidden="1" x14ac:dyDescent="0.3">
      <c r="B73" s="135"/>
      <c r="C73" s="136"/>
      <c r="D73" s="136"/>
      <c r="E73" s="136"/>
      <c r="F73" s="136"/>
      <c r="G73" s="266">
        <f>G57</f>
        <v>2023</v>
      </c>
      <c r="H73" s="266">
        <f>H57</f>
        <v>2024</v>
      </c>
      <c r="I73" s="266">
        <f t="shared" ref="I73:K73" si="22">I57</f>
        <v>2025</v>
      </c>
      <c r="J73" s="266" t="str">
        <f t="shared" si="22"/>
        <v>Jan-Mar 2025</v>
      </c>
      <c r="K73" s="266" t="str">
        <f t="shared" si="22"/>
        <v>Jan-Mar 2026</v>
      </c>
      <c r="L73" s="71"/>
      <c r="M73" s="10"/>
      <c r="O73" s="18"/>
    </row>
    <row r="74" spans="1:16" s="262" customFormat="1" hidden="1" x14ac:dyDescent="0.3">
      <c r="A74" s="32"/>
      <c r="B74" s="740" t="str">
        <f>IF(Intro!$G$20="English",O74,P74)</f>
        <v>Imports in Canada</v>
      </c>
      <c r="C74" s="741"/>
      <c r="D74" s="741"/>
      <c r="E74" s="741"/>
      <c r="F74" s="741"/>
      <c r="G74" s="741"/>
      <c r="H74" s="741"/>
      <c r="I74" s="741"/>
      <c r="J74" s="741"/>
      <c r="K74" s="741"/>
      <c r="L74" s="71"/>
      <c r="O74" s="26" t="s">
        <v>233</v>
      </c>
      <c r="P74" s="262" t="s">
        <v>234</v>
      </c>
    </row>
    <row r="75" spans="1:16" hidden="1" x14ac:dyDescent="0.3">
      <c r="B75" s="733" t="str">
        <f>IF(Intro!$G$20="English",O75,P75)</f>
        <v>Imports</v>
      </c>
      <c r="C75" s="734"/>
      <c r="D75" s="744" t="str">
        <f>IF(Intro!$G$20="English",Variables!$B$23,Variables!$C$23)</f>
        <v>tonnes</v>
      </c>
      <c r="E75" s="744"/>
      <c r="F75" s="744"/>
      <c r="G75" s="137"/>
      <c r="H75" s="137"/>
      <c r="I75" s="137"/>
      <c r="J75" s="137"/>
      <c r="K75" s="131"/>
      <c r="L75" s="71"/>
      <c r="M75" s="10"/>
      <c r="O75" s="10" t="s">
        <v>91</v>
      </c>
      <c r="P75" s="10" t="s">
        <v>169</v>
      </c>
    </row>
    <row r="76" spans="1:16" hidden="1" x14ac:dyDescent="0.3">
      <c r="B76" s="733"/>
      <c r="C76" s="734"/>
      <c r="D76" s="744" t="str">
        <f>IF(Intro!$G$20="English",O76,P76)</f>
        <v>net delivered purchase value (CAD)</v>
      </c>
      <c r="E76" s="744"/>
      <c r="F76" s="744"/>
      <c r="G76" s="137"/>
      <c r="H76" s="137"/>
      <c r="I76" s="137"/>
      <c r="J76" s="137"/>
      <c r="K76" s="131"/>
      <c r="L76" s="71"/>
      <c r="M76" s="10"/>
      <c r="O76" s="10" t="s">
        <v>342</v>
      </c>
      <c r="P76" s="10" t="s">
        <v>341</v>
      </c>
    </row>
    <row r="77" spans="1:16" hidden="1" x14ac:dyDescent="0.3">
      <c r="B77" s="733"/>
      <c r="C77" s="734"/>
      <c r="D77" s="744" t="str">
        <f>"$ / "&amp;IF(Intro!$G$20="English",Variables!$B$24,Variables!$C$24)</f>
        <v>$ / tonne</v>
      </c>
      <c r="E77" s="744"/>
      <c r="F77" s="744"/>
      <c r="G77" s="156" t="str">
        <f>IF(G75=0,"-",G76/G75)</f>
        <v>-</v>
      </c>
      <c r="H77" s="156" t="str">
        <f>IF(H75=0,"-",H76/H75)</f>
        <v>-</v>
      </c>
      <c r="I77" s="156" t="str">
        <f t="shared" ref="I77:K77" si="23">IF(I75=0,"-",I76/I75)</f>
        <v>-</v>
      </c>
      <c r="J77" s="156" t="str">
        <f t="shared" si="23"/>
        <v>-</v>
      </c>
      <c r="K77" s="156" t="str">
        <f t="shared" si="23"/>
        <v>-</v>
      </c>
      <c r="L77" s="71"/>
      <c r="M77" s="10"/>
    </row>
    <row r="78" spans="1:16" s="262" customFormat="1" hidden="1" x14ac:dyDescent="0.3">
      <c r="A78" s="32"/>
      <c r="B78" s="742" t="str">
        <f>IF(Intro!$G$20="English",O78,P78)</f>
        <v>Sales in Canada</v>
      </c>
      <c r="C78" s="743"/>
      <c r="D78" s="743"/>
      <c r="E78" s="743"/>
      <c r="F78" s="743"/>
      <c r="G78" s="743"/>
      <c r="H78" s="743"/>
      <c r="I78" s="743"/>
      <c r="J78" s="743"/>
      <c r="K78" s="743"/>
      <c r="L78" s="71"/>
      <c r="O78" s="26" t="s">
        <v>235</v>
      </c>
      <c r="P78" s="262" t="s">
        <v>236</v>
      </c>
    </row>
    <row r="79" spans="1:16" hidden="1" x14ac:dyDescent="0.3">
      <c r="B79" s="540" t="str">
        <f>IF(Intro!$G$20="English",O79,P79)</f>
        <v>Sales to end users in Canada</v>
      </c>
      <c r="C79" s="541"/>
      <c r="D79" s="744" t="str">
        <f>D75</f>
        <v>tonnes</v>
      </c>
      <c r="E79" s="744"/>
      <c r="F79" s="744"/>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44" t="str">
        <f>IF(Intro!$G$20="English",O80,P80)</f>
        <v>net delivered selling value (CAD)</v>
      </c>
      <c r="E80" s="744"/>
      <c r="F80" s="744"/>
      <c r="G80" s="137"/>
      <c r="H80" s="137"/>
      <c r="I80" s="137"/>
      <c r="J80" s="137"/>
      <c r="K80" s="131"/>
      <c r="L80" s="71"/>
      <c r="M80" s="10"/>
      <c r="O80" s="10" t="s">
        <v>344</v>
      </c>
      <c r="P80" s="10" t="s">
        <v>343</v>
      </c>
    </row>
    <row r="81" spans="1:16" ht="15" hidden="1" thickBot="1" x14ac:dyDescent="0.35">
      <c r="B81" s="752"/>
      <c r="C81" s="753"/>
      <c r="D81" s="769" t="str">
        <f>D77</f>
        <v>$ / tonne</v>
      </c>
      <c r="E81" s="769"/>
      <c r="F81" s="769"/>
      <c r="G81" s="156" t="str">
        <f>IF(G79=0,"-",G80/G79)</f>
        <v>-</v>
      </c>
      <c r="H81" s="156" t="str">
        <f>IF(H79=0,"-",H80/H79)</f>
        <v>-</v>
      </c>
      <c r="I81" s="156" t="str">
        <f t="shared" ref="I81:K81" si="24">IF(I79=0,"-",I80/I79)</f>
        <v>-</v>
      </c>
      <c r="J81" s="156" t="str">
        <f t="shared" si="24"/>
        <v>-</v>
      </c>
      <c r="K81" s="156" t="str">
        <f t="shared" si="24"/>
        <v>-</v>
      </c>
      <c r="L81" s="71"/>
      <c r="M81" s="10"/>
    </row>
    <row r="82" spans="1:16" hidden="1" x14ac:dyDescent="0.3">
      <c r="B82" s="754" t="str">
        <f>IF(Intro!$G$20="English",O82,P82)</f>
        <v>Sales to other in Canada</v>
      </c>
      <c r="C82" s="755"/>
      <c r="D82" s="770" t="str">
        <f t="shared" ref="D82:D84" si="25">D79</f>
        <v>tonnes</v>
      </c>
      <c r="E82" s="770"/>
      <c r="F82" s="770"/>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44" t="str">
        <f t="shared" si="25"/>
        <v>net delivered selling value (CAD)</v>
      </c>
      <c r="E83" s="744"/>
      <c r="F83" s="744"/>
      <c r="G83" s="137"/>
      <c r="H83" s="137"/>
      <c r="I83" s="137"/>
      <c r="J83" s="137"/>
      <c r="K83" s="131"/>
      <c r="L83" s="71"/>
      <c r="M83" s="10"/>
    </row>
    <row r="84" spans="1:16" ht="15" hidden="1" thickBot="1" x14ac:dyDescent="0.35">
      <c r="B84" s="752"/>
      <c r="C84" s="753"/>
      <c r="D84" s="769" t="str">
        <f t="shared" si="25"/>
        <v>$ / tonne</v>
      </c>
      <c r="E84" s="769"/>
      <c r="F84" s="769"/>
      <c r="G84" s="156" t="str">
        <f>IF(G82=0,"-",G83/G82)</f>
        <v>-</v>
      </c>
      <c r="H84" s="156" t="str">
        <f>IF(H82=0,"-",H83/H82)</f>
        <v>-</v>
      </c>
      <c r="I84" s="156" t="str">
        <f t="shared" ref="I84:K84" si="26">IF(I82=0,"-",I83/I82)</f>
        <v>-</v>
      </c>
      <c r="J84" s="156" t="str">
        <f t="shared" si="26"/>
        <v>-</v>
      </c>
      <c r="K84" s="156" t="str">
        <f t="shared" si="26"/>
        <v>-</v>
      </c>
      <c r="L84" s="71"/>
      <c r="M84" s="10"/>
    </row>
    <row r="85" spans="1:16" hidden="1" x14ac:dyDescent="0.3">
      <c r="B85" s="607" t="str">
        <f>IF(Intro!$G$20="English",O85,P85)</f>
        <v>Total sales in Canada</v>
      </c>
      <c r="C85" s="608"/>
      <c r="D85" s="749" t="str">
        <f>D82</f>
        <v>tonnes</v>
      </c>
      <c r="E85" s="749"/>
      <c r="F85" s="749"/>
      <c r="G85" s="139">
        <f t="shared" ref="G85:K85" si="27">G79+G82</f>
        <v>0</v>
      </c>
      <c r="H85" s="139">
        <f t="shared" si="27"/>
        <v>0</v>
      </c>
      <c r="I85" s="139">
        <f t="shared" si="27"/>
        <v>0</v>
      </c>
      <c r="J85" s="139">
        <f t="shared" si="27"/>
        <v>0</v>
      </c>
      <c r="K85" s="139">
        <f t="shared" si="27"/>
        <v>0</v>
      </c>
      <c r="L85" s="71"/>
      <c r="M85" s="10"/>
      <c r="O85" s="10" t="s">
        <v>345</v>
      </c>
      <c r="P85" s="10" t="s">
        <v>346</v>
      </c>
    </row>
    <row r="86" spans="1:16" hidden="1" x14ac:dyDescent="0.3">
      <c r="B86" s="596"/>
      <c r="C86" s="597"/>
      <c r="D86" s="771" t="str">
        <f>D83</f>
        <v>net delivered selling value (CAD)</v>
      </c>
      <c r="E86" s="771"/>
      <c r="F86" s="771"/>
      <c r="G86" s="138">
        <f t="shared" ref="G86:K86" si="28">G80+G83</f>
        <v>0</v>
      </c>
      <c r="H86" s="138">
        <f t="shared" si="28"/>
        <v>0</v>
      </c>
      <c r="I86" s="138">
        <f t="shared" si="28"/>
        <v>0</v>
      </c>
      <c r="J86" s="138">
        <f t="shared" si="28"/>
        <v>0</v>
      </c>
      <c r="K86" s="138">
        <f t="shared" si="28"/>
        <v>0</v>
      </c>
      <c r="L86" s="71"/>
      <c r="M86" s="10"/>
    </row>
    <row r="87" spans="1:16" hidden="1" x14ac:dyDescent="0.3">
      <c r="B87" s="596"/>
      <c r="C87" s="597"/>
      <c r="D87" s="771" t="str">
        <f>D84</f>
        <v>$ / tonne</v>
      </c>
      <c r="E87" s="771"/>
      <c r="F87" s="771"/>
      <c r="G87" s="156" t="str">
        <f>IF(G85=0,"-",G86/G85)</f>
        <v>-</v>
      </c>
      <c r="H87" s="156" t="str">
        <f>IF(H85=0,"-",H86/H85)</f>
        <v>-</v>
      </c>
      <c r="I87" s="156" t="str">
        <f>IF(I85=0,"-",I86/I85)</f>
        <v>-</v>
      </c>
      <c r="J87" s="156" t="str">
        <f t="shared" ref="J87:K87" si="29">IF(J85=0,"-",J86/J85)</f>
        <v>-</v>
      </c>
      <c r="K87" s="156" t="str">
        <f t="shared" si="29"/>
        <v>-</v>
      </c>
      <c r="L87" s="71"/>
      <c r="M87" s="10"/>
    </row>
    <row r="88" spans="1:16" hidden="1" x14ac:dyDescent="0.3">
      <c r="B88" s="72"/>
      <c r="C88" s="84"/>
      <c r="D88" s="84"/>
      <c r="E88" s="84"/>
      <c r="F88" s="84"/>
      <c r="G88" s="84"/>
      <c r="H88" s="84"/>
      <c r="I88" s="84"/>
      <c r="J88" s="84"/>
      <c r="K88" s="84"/>
      <c r="L88" s="85"/>
      <c r="M88" s="10"/>
    </row>
    <row r="89" spans="1:16" s="262" customFormat="1" x14ac:dyDescent="0.3">
      <c r="A89" s="7"/>
      <c r="B89" s="263"/>
      <c r="C89" s="263"/>
      <c r="D89" s="90"/>
      <c r="E89" s="261"/>
      <c r="F89" s="261"/>
      <c r="G89" s="261"/>
      <c r="H89" s="261"/>
      <c r="I89" s="261"/>
      <c r="J89" s="261"/>
      <c r="K89" s="261"/>
      <c r="L89" s="261"/>
      <c r="M89" s="73"/>
    </row>
    <row r="90" spans="1:16" x14ac:dyDescent="0.3">
      <c r="B90" s="506" t="str">
        <f>IF(Intro!$G$20="English",O90,P90)</f>
        <v>SALES IN CANADA OF IMPORTS TO THE TOP FIVE ACCOUNTS</v>
      </c>
      <c r="C90" s="507"/>
      <c r="D90" s="507"/>
      <c r="E90" s="507"/>
      <c r="F90" s="507"/>
      <c r="G90" s="507"/>
      <c r="H90" s="507"/>
      <c r="I90" s="507"/>
      <c r="J90" s="507"/>
      <c r="K90" s="507"/>
      <c r="L90" s="508"/>
      <c r="M90" s="10"/>
      <c r="O90" s="107" t="s">
        <v>334</v>
      </c>
      <c r="P90" s="107" t="s">
        <v>433</v>
      </c>
    </row>
    <row r="91" spans="1:16" s="262"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 xml:space="preserve">Report the volume and value of sales of imports in Canada for each account listed below : </v>
      </c>
      <c r="C93" s="504"/>
      <c r="D93" s="504"/>
      <c r="E93" s="504"/>
      <c r="F93" s="504"/>
      <c r="G93" s="504"/>
      <c r="H93" s="504"/>
      <c r="I93" s="504"/>
      <c r="J93" s="504"/>
      <c r="K93" s="504"/>
      <c r="L93" s="505"/>
      <c r="M93" s="10"/>
      <c r="O93" s="18" t="s">
        <v>171</v>
      </c>
      <c r="P93" s="10" t="s">
        <v>172</v>
      </c>
    </row>
    <row r="94" spans="1:16" x14ac:dyDescent="0.3">
      <c r="B94" s="503" t="str">
        <f>Pro!B22</f>
        <v>Note - Only complete this question if your firm sold the goods between January 1, 2023, and March 31, 2026.</v>
      </c>
      <c r="C94" s="504"/>
      <c r="D94" s="504"/>
      <c r="E94" s="504"/>
      <c r="F94" s="504"/>
      <c r="G94" s="504"/>
      <c r="H94" s="504"/>
      <c r="I94" s="504"/>
      <c r="J94" s="504"/>
      <c r="K94" s="504"/>
      <c r="L94" s="505"/>
      <c r="M94" s="10"/>
      <c r="O94" s="18"/>
    </row>
    <row r="95" spans="1:16" x14ac:dyDescent="0.3">
      <c r="B95" s="258"/>
      <c r="C95" s="259"/>
      <c r="D95" s="35"/>
      <c r="E95" s="36"/>
      <c r="F95" s="36"/>
      <c r="G95" s="36"/>
      <c r="H95" s="36"/>
      <c r="I95" s="36"/>
      <c r="J95" s="36"/>
      <c r="K95" s="36"/>
      <c r="L95" s="17"/>
      <c r="M95" s="10"/>
      <c r="O95" s="18"/>
    </row>
    <row r="96" spans="1:16" x14ac:dyDescent="0.3">
      <c r="B96" s="779"/>
      <c r="C96" s="780"/>
      <c r="D96" s="781"/>
      <c r="E96" s="264" t="str">
        <f>IF(Intro!$G$20="English","Q","T")&amp;IF(MID(F96,2,1)&lt;&gt;"1",MID(F96,2,1)-1&amp;" - "&amp;MID(F96,6,4),"4 - "&amp;MID(F96,6,4)-1)</f>
        <v>Q2 - 2024</v>
      </c>
      <c r="F96" s="264" t="str">
        <f>IF(Intro!$G$20="English","Q","T")&amp;IF(MID(G96,2,1)&lt;&gt;"1",MID(G96,2,1)-1&amp;" - "&amp;MID(G96,6,4),"4 - "&amp;MID(G96,6,4)-1)</f>
        <v>Q3 - 2024</v>
      </c>
      <c r="G96" s="264" t="str">
        <f>IF(Intro!$G$20="English","Q","T")&amp;IF(MID(H96,2,1)&lt;&gt;"1",MID(H96,2,1)-1&amp;" - "&amp;MID(H96,6,4),"4 - "&amp;MID(H96,6,4)-1)</f>
        <v>Q4 - 2024</v>
      </c>
      <c r="H96" s="264" t="str">
        <f>IF(Intro!$G$20="English","Q","T")&amp;IF(MID(I96,2,1)&lt;&gt;"1",MID(I96,2,1)-1&amp;" - "&amp;MID(I96,6,4),"4 - "&amp;MID(I96,6,4)-1)</f>
        <v>Q1 - 2025</v>
      </c>
      <c r="I96" s="264" t="str">
        <f>IF(Intro!$G$20="English","Q","T")&amp;IF(MID(J96,2,1)&lt;&gt;"1",MID(J96,2,1)-1&amp;" - "&amp;MID(J96,6,4),"4 - "&amp;MID(J96,6,4)-1)</f>
        <v>Q2 - 2025</v>
      </c>
      <c r="J96" s="264" t="str">
        <f>IF(Intro!$G$20="English","Q","T")&amp;IF(MID(K96,2,1)&lt;&gt;"1",MID(K96,2,1)-1&amp;" - "&amp;MID(K96,6,4),"4 - "&amp;MID(K96,6,4)-1)</f>
        <v>Q3 - 2025</v>
      </c>
      <c r="K96" s="264" t="str">
        <f>IF(Intro!$G$20="English","Q","T")&amp;IF(MID(L96,2,1)&lt;&gt;"1",MID(L96,2,1)-1&amp;" - "&amp;MID(L96,6,4),"4 - "&amp;MID(L96,6,4)-1)</f>
        <v>Q4 - 2025</v>
      </c>
      <c r="L96" s="265" t="str">
        <f>IF(Intro!$G$20="English",Variables!B29&amp;" - ",Variables!C29&amp;" - ")&amp;Variables!B8</f>
        <v>Q1 - 2026</v>
      </c>
      <c r="M96" s="10"/>
      <c r="O96" s="18"/>
    </row>
    <row r="97" spans="2:16" x14ac:dyDescent="0.3">
      <c r="B97" s="766" t="str">
        <f>IF(Intro!$G$20="English",O98,P98)</f>
        <v xml:space="preserve">Account 1 - </v>
      </c>
      <c r="C97" s="767"/>
      <c r="D97" s="767"/>
      <c r="E97" s="767"/>
      <c r="F97" s="767"/>
      <c r="G97" s="767"/>
      <c r="H97" s="767"/>
      <c r="I97" s="767"/>
      <c r="J97" s="767"/>
      <c r="K97" s="767"/>
      <c r="L97" s="768"/>
      <c r="M97" s="10"/>
      <c r="O97" s="18"/>
    </row>
    <row r="98" spans="2:16" x14ac:dyDescent="0.3">
      <c r="B98" s="735" t="str">
        <f>D$31</f>
        <v>tonnes</v>
      </c>
      <c r="C98" s="736"/>
      <c r="D98" s="736"/>
      <c r="E98" s="141"/>
      <c r="F98" s="141"/>
      <c r="G98" s="141"/>
      <c r="H98" s="141"/>
      <c r="I98" s="141"/>
      <c r="J98" s="141"/>
      <c r="K98" s="141"/>
      <c r="L98" s="142"/>
      <c r="M98" s="10"/>
      <c r="O98" s="10" t="str">
        <f>"Account 1 - "&amp;Pro!C119</f>
        <v xml:space="preserve">Account 1 - </v>
      </c>
      <c r="P98" s="10" t="str">
        <f>"Client 1 - "&amp;Pro!C119</f>
        <v xml:space="preserve">Client 1 - </v>
      </c>
    </row>
    <row r="99" spans="2:16" x14ac:dyDescent="0.3">
      <c r="B99" s="735" t="str">
        <f>D$32</f>
        <v>net delivered selling value (CAD)</v>
      </c>
      <c r="C99" s="736"/>
      <c r="D99" s="736"/>
      <c r="E99" s="141"/>
      <c r="F99" s="141"/>
      <c r="G99" s="141"/>
      <c r="H99" s="141"/>
      <c r="I99" s="141"/>
      <c r="J99" s="141"/>
      <c r="K99" s="141"/>
      <c r="L99" s="142"/>
      <c r="M99" s="10"/>
    </row>
    <row r="100" spans="2:16" x14ac:dyDescent="0.3">
      <c r="B100" s="735" t="str">
        <f>D$33</f>
        <v>$ / tonne</v>
      </c>
      <c r="C100" s="736"/>
      <c r="D100" s="736"/>
      <c r="E100" s="289" t="str">
        <f>IF(E98=0,"-",E99/E98)</f>
        <v>-</v>
      </c>
      <c r="F100" s="289" t="str">
        <f t="shared" ref="F100:L100" si="30">IF(F98=0,"-",F99/F98)</f>
        <v>-</v>
      </c>
      <c r="G100" s="289" t="str">
        <f t="shared" si="30"/>
        <v>-</v>
      </c>
      <c r="H100" s="289" t="str">
        <f t="shared" si="30"/>
        <v>-</v>
      </c>
      <c r="I100" s="289" t="str">
        <f t="shared" si="30"/>
        <v>-</v>
      </c>
      <c r="J100" s="289" t="str">
        <f t="shared" si="30"/>
        <v>-</v>
      </c>
      <c r="K100" s="289" t="str">
        <f t="shared" si="30"/>
        <v>-</v>
      </c>
      <c r="L100" s="290" t="str">
        <f t="shared" si="30"/>
        <v>-</v>
      </c>
      <c r="M100" s="10"/>
    </row>
    <row r="101" spans="2:16" x14ac:dyDescent="0.3">
      <c r="B101" s="766" t="str">
        <f>IF(Intro!$G$20="English",O102,P102)</f>
        <v xml:space="preserve">Account 2 - </v>
      </c>
      <c r="C101" s="767"/>
      <c r="D101" s="767"/>
      <c r="E101" s="767"/>
      <c r="F101" s="767"/>
      <c r="G101" s="767"/>
      <c r="H101" s="767"/>
      <c r="I101" s="767"/>
      <c r="J101" s="767"/>
      <c r="K101" s="767"/>
      <c r="L101" s="768"/>
      <c r="M101" s="10"/>
    </row>
    <row r="102" spans="2:16" x14ac:dyDescent="0.3">
      <c r="B102" s="735" t="str">
        <f>D$31</f>
        <v>tonnes</v>
      </c>
      <c r="C102" s="736"/>
      <c r="D102" s="736"/>
      <c r="E102" s="141"/>
      <c r="F102" s="141"/>
      <c r="G102" s="141"/>
      <c r="H102" s="141"/>
      <c r="I102" s="141"/>
      <c r="J102" s="141"/>
      <c r="K102" s="141"/>
      <c r="L102" s="142"/>
      <c r="M102" s="10"/>
      <c r="O102" s="10" t="str">
        <f>"Account 2 - "&amp;Pro!C120</f>
        <v xml:space="preserve">Account 2 - </v>
      </c>
      <c r="P102" s="10" t="str">
        <f>"Client 2 - "&amp;Pro!C120</f>
        <v xml:space="preserve">Client 2 - </v>
      </c>
    </row>
    <row r="103" spans="2:16" x14ac:dyDescent="0.3">
      <c r="B103" s="735" t="str">
        <f>D$32</f>
        <v>net delivered selling value (CAD)</v>
      </c>
      <c r="C103" s="736"/>
      <c r="D103" s="736"/>
      <c r="E103" s="141"/>
      <c r="F103" s="141"/>
      <c r="G103" s="141"/>
      <c r="H103" s="141"/>
      <c r="I103" s="141"/>
      <c r="J103" s="141"/>
      <c r="K103" s="141"/>
      <c r="L103" s="142"/>
      <c r="M103" s="10"/>
    </row>
    <row r="104" spans="2:16" x14ac:dyDescent="0.3">
      <c r="B104" s="735" t="str">
        <f>D$33</f>
        <v>$ / tonne</v>
      </c>
      <c r="C104" s="736"/>
      <c r="D104" s="736"/>
      <c r="E104" s="289" t="str">
        <f>IF(E102=0,"-",E103/E102)</f>
        <v>-</v>
      </c>
      <c r="F104" s="289" t="str">
        <f t="shared" ref="F104:L104" si="31">IF(F102=0,"-",F103/F102)</f>
        <v>-</v>
      </c>
      <c r="G104" s="289" t="str">
        <f t="shared" si="31"/>
        <v>-</v>
      </c>
      <c r="H104" s="289" t="str">
        <f t="shared" si="31"/>
        <v>-</v>
      </c>
      <c r="I104" s="289" t="str">
        <f t="shared" si="31"/>
        <v>-</v>
      </c>
      <c r="J104" s="289" t="str">
        <f t="shared" si="31"/>
        <v>-</v>
      </c>
      <c r="K104" s="289" t="str">
        <f t="shared" si="31"/>
        <v>-</v>
      </c>
      <c r="L104" s="290" t="str">
        <f t="shared" si="31"/>
        <v>-</v>
      </c>
      <c r="M104" s="10"/>
    </row>
    <row r="105" spans="2:16" x14ac:dyDescent="0.3">
      <c r="B105" s="766" t="str">
        <f>IF(Intro!$G$20="English",O106,P106)</f>
        <v xml:space="preserve">Account 3 - </v>
      </c>
      <c r="C105" s="767"/>
      <c r="D105" s="767"/>
      <c r="E105" s="767"/>
      <c r="F105" s="767"/>
      <c r="G105" s="767"/>
      <c r="H105" s="767"/>
      <c r="I105" s="767"/>
      <c r="J105" s="767"/>
      <c r="K105" s="767"/>
      <c r="L105" s="768"/>
      <c r="M105" s="10"/>
    </row>
    <row r="106" spans="2:16" x14ac:dyDescent="0.3">
      <c r="B106" s="735" t="str">
        <f>D$31</f>
        <v>tonnes</v>
      </c>
      <c r="C106" s="736"/>
      <c r="D106" s="736"/>
      <c r="E106" s="141"/>
      <c r="F106" s="141"/>
      <c r="G106" s="141"/>
      <c r="H106" s="141"/>
      <c r="I106" s="141"/>
      <c r="J106" s="141"/>
      <c r="K106" s="141"/>
      <c r="L106" s="142"/>
      <c r="M106" s="10"/>
      <c r="O106" s="10" t="str">
        <f>"Account 3 - "&amp;Pro!C121</f>
        <v xml:space="preserve">Account 3 - </v>
      </c>
      <c r="P106" s="10" t="str">
        <f>"Client 3 - "&amp;Pro!C121</f>
        <v xml:space="preserve">Client 3 - </v>
      </c>
    </row>
    <row r="107" spans="2:16" x14ac:dyDescent="0.3">
      <c r="B107" s="735" t="str">
        <f>D$32</f>
        <v>net delivered selling value (CAD)</v>
      </c>
      <c r="C107" s="736"/>
      <c r="D107" s="736"/>
      <c r="E107" s="141"/>
      <c r="F107" s="141"/>
      <c r="G107" s="141"/>
      <c r="H107" s="141"/>
      <c r="I107" s="141"/>
      <c r="J107" s="141"/>
      <c r="K107" s="141"/>
      <c r="L107" s="142"/>
      <c r="M107" s="10"/>
    </row>
    <row r="108" spans="2:16" x14ac:dyDescent="0.3">
      <c r="B108" s="735" t="str">
        <f>D$33</f>
        <v>$ / tonne</v>
      </c>
      <c r="C108" s="736"/>
      <c r="D108" s="736"/>
      <c r="E108" s="289" t="str">
        <f>IF(E106=0,"-",E107/E106)</f>
        <v>-</v>
      </c>
      <c r="F108" s="289" t="str">
        <f t="shared" ref="F108:L108" si="32">IF(F106=0,"-",F107/F106)</f>
        <v>-</v>
      </c>
      <c r="G108" s="289" t="str">
        <f t="shared" si="32"/>
        <v>-</v>
      </c>
      <c r="H108" s="289" t="str">
        <f t="shared" si="32"/>
        <v>-</v>
      </c>
      <c r="I108" s="289" t="str">
        <f t="shared" si="32"/>
        <v>-</v>
      </c>
      <c r="J108" s="289" t="str">
        <f t="shared" si="32"/>
        <v>-</v>
      </c>
      <c r="K108" s="289" t="str">
        <f t="shared" si="32"/>
        <v>-</v>
      </c>
      <c r="L108" s="290" t="str">
        <f t="shared" si="32"/>
        <v>-</v>
      </c>
      <c r="M108" s="10"/>
    </row>
    <row r="109" spans="2:16" x14ac:dyDescent="0.3">
      <c r="B109" s="766" t="str">
        <f>IF(Intro!$G$20="English",O110,P110)</f>
        <v xml:space="preserve">Account 4 - </v>
      </c>
      <c r="C109" s="767"/>
      <c r="D109" s="767"/>
      <c r="E109" s="767"/>
      <c r="F109" s="767"/>
      <c r="G109" s="767"/>
      <c r="H109" s="767"/>
      <c r="I109" s="767"/>
      <c r="J109" s="767"/>
      <c r="K109" s="767"/>
      <c r="L109" s="768"/>
      <c r="M109" s="10"/>
    </row>
    <row r="110" spans="2:16" x14ac:dyDescent="0.3">
      <c r="B110" s="735" t="str">
        <f>D$31</f>
        <v>tonnes</v>
      </c>
      <c r="C110" s="736"/>
      <c r="D110" s="736"/>
      <c r="E110" s="141"/>
      <c r="F110" s="141"/>
      <c r="G110" s="141"/>
      <c r="H110" s="141"/>
      <c r="I110" s="141"/>
      <c r="J110" s="141"/>
      <c r="K110" s="141"/>
      <c r="L110" s="142"/>
      <c r="M110" s="10"/>
      <c r="O110" s="10" t="str">
        <f>"Account 4 - "&amp;Pro!C122</f>
        <v xml:space="preserve">Account 4 - </v>
      </c>
      <c r="P110" s="10" t="str">
        <f>"Client 4 - "&amp;Pro!C122</f>
        <v xml:space="preserve">Client 4 - </v>
      </c>
    </row>
    <row r="111" spans="2:16" x14ac:dyDescent="0.3">
      <c r="B111" s="735" t="str">
        <f>D$32</f>
        <v>net delivered selling value (CAD)</v>
      </c>
      <c r="C111" s="736"/>
      <c r="D111" s="736"/>
      <c r="E111" s="141"/>
      <c r="F111" s="141"/>
      <c r="G111" s="141"/>
      <c r="H111" s="141"/>
      <c r="I111" s="141"/>
      <c r="J111" s="141"/>
      <c r="K111" s="141"/>
      <c r="L111" s="142"/>
      <c r="M111" s="10"/>
    </row>
    <row r="112" spans="2:16" x14ac:dyDescent="0.3">
      <c r="B112" s="735" t="str">
        <f>D$33</f>
        <v>$ / tonne</v>
      </c>
      <c r="C112" s="736"/>
      <c r="D112" s="736"/>
      <c r="E112" s="289" t="str">
        <f>IF(E110=0,"-",E111/E110)</f>
        <v>-</v>
      </c>
      <c r="F112" s="289" t="str">
        <f t="shared" ref="F112:L112" si="33">IF(F110=0,"-",F111/F110)</f>
        <v>-</v>
      </c>
      <c r="G112" s="289" t="str">
        <f t="shared" si="33"/>
        <v>-</v>
      </c>
      <c r="H112" s="289" t="str">
        <f t="shared" si="33"/>
        <v>-</v>
      </c>
      <c r="I112" s="289" t="str">
        <f t="shared" si="33"/>
        <v>-</v>
      </c>
      <c r="J112" s="289" t="str">
        <f t="shared" si="33"/>
        <v>-</v>
      </c>
      <c r="K112" s="289" t="str">
        <f t="shared" si="33"/>
        <v>-</v>
      </c>
      <c r="L112" s="290" t="str">
        <f t="shared" si="33"/>
        <v>-</v>
      </c>
      <c r="M112" s="10"/>
    </row>
    <row r="113" spans="2:19" x14ac:dyDescent="0.3">
      <c r="B113" s="766" t="str">
        <f>IF(Intro!$G$20="English",O114,P114)</f>
        <v xml:space="preserve">Account 5 - </v>
      </c>
      <c r="C113" s="767"/>
      <c r="D113" s="767"/>
      <c r="E113" s="767"/>
      <c r="F113" s="767"/>
      <c r="G113" s="767"/>
      <c r="H113" s="767"/>
      <c r="I113" s="767"/>
      <c r="J113" s="767"/>
      <c r="K113" s="767"/>
      <c r="L113" s="768"/>
      <c r="M113" s="10"/>
    </row>
    <row r="114" spans="2:19" x14ac:dyDescent="0.3">
      <c r="B114" s="735" t="str">
        <f>D$31</f>
        <v>tonnes</v>
      </c>
      <c r="C114" s="736"/>
      <c r="D114" s="736"/>
      <c r="E114" s="141"/>
      <c r="F114" s="141"/>
      <c r="G114" s="141"/>
      <c r="H114" s="141"/>
      <c r="I114" s="141"/>
      <c r="J114" s="141"/>
      <c r="K114" s="141"/>
      <c r="L114" s="142"/>
      <c r="M114" s="10"/>
      <c r="O114" s="10" t="str">
        <f>"Account 5 - "&amp;Pro!C123</f>
        <v xml:space="preserve">Account 5 - </v>
      </c>
      <c r="P114" s="10" t="str">
        <f>"Client 5 - "&amp;Pro!C123</f>
        <v xml:space="preserve">Client 5 - </v>
      </c>
    </row>
    <row r="115" spans="2:19" x14ac:dyDescent="0.3">
      <c r="B115" s="735" t="str">
        <f>D$32</f>
        <v>net delivered selling value (CAD)</v>
      </c>
      <c r="C115" s="736"/>
      <c r="D115" s="736"/>
      <c r="E115" s="141"/>
      <c r="F115" s="141"/>
      <c r="G115" s="141"/>
      <c r="H115" s="141"/>
      <c r="I115" s="141"/>
      <c r="J115" s="141"/>
      <c r="K115" s="141"/>
      <c r="L115" s="142"/>
      <c r="M115" s="10"/>
    </row>
    <row r="116" spans="2:19" x14ac:dyDescent="0.3">
      <c r="B116" s="735" t="str">
        <f>D$33</f>
        <v>$ / tonne</v>
      </c>
      <c r="C116" s="736"/>
      <c r="D116" s="736"/>
      <c r="E116" s="289" t="str">
        <f>IF(E114=0,"-",E115/E114)</f>
        <v>-</v>
      </c>
      <c r="F116" s="289" t="str">
        <f t="shared" ref="F116:L116" si="34">IF(F114=0,"-",F115/F114)</f>
        <v>-</v>
      </c>
      <c r="G116" s="289" t="str">
        <f t="shared" si="34"/>
        <v>-</v>
      </c>
      <c r="H116" s="289" t="str">
        <f t="shared" si="34"/>
        <v>-</v>
      </c>
      <c r="I116" s="289" t="str">
        <f t="shared" si="34"/>
        <v>-</v>
      </c>
      <c r="J116" s="289" t="str">
        <f t="shared" si="34"/>
        <v>-</v>
      </c>
      <c r="K116" s="289" t="str">
        <f t="shared" si="34"/>
        <v>-</v>
      </c>
      <c r="L116" s="290" t="str">
        <f t="shared" si="34"/>
        <v>-</v>
      </c>
      <c r="M116" s="10"/>
    </row>
    <row r="117" spans="2:19" x14ac:dyDescent="0.3">
      <c r="B117" s="766" t="str">
        <f>IF(Intro!$G$20="English",O118,P118)</f>
        <v xml:space="preserve">Account 6 - </v>
      </c>
      <c r="C117" s="767"/>
      <c r="D117" s="767"/>
      <c r="E117" s="767"/>
      <c r="F117" s="767"/>
      <c r="G117" s="767"/>
      <c r="H117" s="767"/>
      <c r="I117" s="767"/>
      <c r="J117" s="767"/>
      <c r="K117" s="767"/>
      <c r="L117" s="768"/>
      <c r="M117" s="10"/>
    </row>
    <row r="118" spans="2:19" x14ac:dyDescent="0.3">
      <c r="B118" s="735" t="str">
        <f>D$31</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D$32</f>
        <v>net delivered selling value (CAD)</v>
      </c>
      <c r="C119" s="736"/>
      <c r="D119" s="736"/>
      <c r="E119" s="141"/>
      <c r="F119" s="141"/>
      <c r="G119" s="141"/>
      <c r="H119" s="141"/>
      <c r="I119" s="141"/>
      <c r="J119" s="141"/>
      <c r="K119" s="141"/>
      <c r="L119" s="142"/>
      <c r="M119" s="10"/>
    </row>
    <row r="120" spans="2:19" x14ac:dyDescent="0.3">
      <c r="B120" s="735" t="str">
        <f>D$33</f>
        <v>$ / tonne</v>
      </c>
      <c r="C120" s="736"/>
      <c r="D120" s="736"/>
      <c r="E120" s="289" t="str">
        <f>IF(E118=0,"-",E119/E118)</f>
        <v>-</v>
      </c>
      <c r="F120" s="289" t="str">
        <f t="shared" ref="F120:L120" si="35">IF(F118=0,"-",F119/F118)</f>
        <v>-</v>
      </c>
      <c r="G120" s="289" t="str">
        <f t="shared" si="35"/>
        <v>-</v>
      </c>
      <c r="H120" s="289" t="str">
        <f t="shared" si="35"/>
        <v>-</v>
      </c>
      <c r="I120" s="289" t="str">
        <f t="shared" si="35"/>
        <v>-</v>
      </c>
      <c r="J120" s="289" t="str">
        <f t="shared" si="35"/>
        <v>-</v>
      </c>
      <c r="K120" s="289" t="str">
        <f t="shared" si="35"/>
        <v>-</v>
      </c>
      <c r="L120" s="290" t="str">
        <f t="shared" si="35"/>
        <v>-</v>
      </c>
      <c r="M120" s="10"/>
    </row>
    <row r="121" spans="2:19" x14ac:dyDescent="0.3">
      <c r="B121" s="258"/>
      <c r="C121" s="259"/>
      <c r="D121" s="259"/>
      <c r="E121" s="29"/>
      <c r="F121" s="29"/>
      <c r="G121" s="29"/>
      <c r="H121" s="29"/>
      <c r="I121" s="29"/>
      <c r="J121" s="29"/>
      <c r="K121" s="29"/>
      <c r="L121" s="30"/>
      <c r="M121" s="10"/>
    </row>
    <row r="122" spans="2:19" x14ac:dyDescent="0.3">
      <c r="B122" s="503" t="str">
        <f>IF(Intro!$G$20="English",O122,P122)</f>
        <v>In the table below, “Error” means that the total sales to your firm’s top five accounts for that period exceed your firm’s total import sales for that period. Therefore, please modify the above data if necessary.</v>
      </c>
      <c r="C122" s="504"/>
      <c r="D122" s="504"/>
      <c r="E122" s="504"/>
      <c r="F122" s="504"/>
      <c r="G122" s="504"/>
      <c r="H122" s="504"/>
      <c r="I122" s="504"/>
      <c r="J122" s="504"/>
      <c r="K122" s="504"/>
      <c r="L122" s="505"/>
      <c r="M122" s="10"/>
      <c r="O122" s="10" t="s">
        <v>364</v>
      </c>
      <c r="P122" s="10" t="s">
        <v>365</v>
      </c>
      <c r="S122" s="38"/>
    </row>
    <row r="123" spans="2:19" x14ac:dyDescent="0.3">
      <c r="B123" s="503"/>
      <c r="C123" s="504"/>
      <c r="D123" s="504"/>
      <c r="E123" s="504"/>
      <c r="F123" s="504"/>
      <c r="G123" s="504"/>
      <c r="H123" s="504"/>
      <c r="I123" s="504"/>
      <c r="J123" s="504"/>
      <c r="K123" s="504"/>
      <c r="L123" s="505"/>
      <c r="M123" s="10"/>
      <c r="S123" s="38"/>
    </row>
    <row r="124" spans="2:19" x14ac:dyDescent="0.3">
      <c r="B124" s="258"/>
      <c r="C124" s="259"/>
      <c r="D124" s="259"/>
      <c r="E124" s="29"/>
      <c r="F124" s="29"/>
      <c r="G124" s="29"/>
      <c r="H124" s="29"/>
      <c r="I124" s="29"/>
      <c r="J124" s="29"/>
      <c r="K124" s="29"/>
      <c r="L124" s="30"/>
      <c r="M124" s="10"/>
      <c r="S124" s="38"/>
    </row>
    <row r="125" spans="2:19" ht="14.1" customHeight="1" x14ac:dyDescent="0.3">
      <c r="B125" s="756" t="str">
        <f>Variables!D62</f>
        <v>Verification - volume</v>
      </c>
      <c r="C125" s="617"/>
      <c r="D125" s="617"/>
      <c r="E125" s="617"/>
      <c r="F125" s="618"/>
      <c r="G125" s="264">
        <f>H125-1</f>
        <v>2024</v>
      </c>
      <c r="H125" s="264">
        <f>Variables!B8-1</f>
        <v>2025</v>
      </c>
      <c r="I125" s="264" t="str">
        <f>L96</f>
        <v>Q1 - 2026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Okay</v>
      </c>
      <c r="H126" s="232" t="str">
        <f>IF(SUM(H98:K98,H102:K102,H106:K106,H110:K110,H114:K114)&gt;SUM(I37,I53,I69),Variables!$D$63,Variables!$D$64)</f>
        <v>Okay</v>
      </c>
      <c r="I126" s="232" t="str">
        <f>IF(SUM(L98,L102,L106,L110,L114)&gt;SUM(K37,K53,K69),Variables!$D$63,Variables!$D$64)</f>
        <v>Okay</v>
      </c>
      <c r="J126" s="291"/>
      <c r="K126" s="291"/>
      <c r="L126" s="292"/>
      <c r="M126" s="10"/>
    </row>
    <row r="127" spans="2:19" ht="14.1" customHeight="1" x14ac:dyDescent="0.3">
      <c r="B127" s="757" t="str">
        <f>IF(Intro!$G$20="English",O127,P127)</f>
        <v>volume - total sales in Canada of imports to the top five accounts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sales in Canada of imports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Verification - value</v>
      </c>
      <c r="C129" s="764"/>
      <c r="D129" s="764"/>
      <c r="E129" s="764"/>
      <c r="F129" s="765"/>
      <c r="G129" s="264">
        <f>G125</f>
        <v>2024</v>
      </c>
      <c r="H129" s="264">
        <f>H125</f>
        <v>2025</v>
      </c>
      <c r="I129" s="264" t="str">
        <f>I125</f>
        <v>Q1 - 2026</v>
      </c>
      <c r="J129" s="291"/>
      <c r="K129" s="291"/>
      <c r="L129" s="292"/>
      <c r="M129" s="10"/>
    </row>
    <row r="130" spans="1:16" ht="14.1" customHeight="1" x14ac:dyDescent="0.3">
      <c r="B130" s="788" t="str">
        <f>D32</f>
        <v>net delivered selling value (CAD)</v>
      </c>
      <c r="C130" s="789"/>
      <c r="D130" s="789"/>
      <c r="E130" s="789"/>
      <c r="F130" s="790"/>
      <c r="G130" s="232" t="str">
        <f>IF(SUM(E99:G99,E103:G103,E107:G107,E111:G111,E115:G115)&gt;SUM(H38,H54,H70),Variables!$D$63,Variables!$D$64)</f>
        <v>Okay</v>
      </c>
      <c r="H130" s="232" t="str">
        <f>IF(SUM(H99:K99,H103:K103,H107:K107,H111:K111,H115:K115)&gt;SUM(I38,I54,I70),Variables!$D$63,Variables!$D$64)</f>
        <v>Okay</v>
      </c>
      <c r="I130" s="232" t="str">
        <f>IF(SUM(L99,L103,L107,L111,L115)&gt;SUM(K38,K54,K70),Variables!$D$63,Variables!$D$64)</f>
        <v>Okay</v>
      </c>
      <c r="J130" s="291"/>
      <c r="K130" s="291"/>
      <c r="L130" s="292"/>
      <c r="M130" s="10"/>
    </row>
    <row r="131" spans="1:16" ht="14.1" customHeight="1" x14ac:dyDescent="0.3">
      <c r="B131" s="791" t="str">
        <f>IF(Intro!$G$20="English",O131,P131)</f>
        <v>value - total sales in Canada of imports to the top five accounts (Question 2)</v>
      </c>
      <c r="C131" s="792"/>
      <c r="D131" s="792"/>
      <c r="E131" s="792"/>
      <c r="F131" s="793"/>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1" t="str">
        <f>IF(Intro!$G$20="English",O132,P132)</f>
        <v>value - total sales in Canada of imports (Question 1)</v>
      </c>
      <c r="C132" s="792"/>
      <c r="D132" s="792"/>
      <c r="E132" s="792"/>
      <c r="F132" s="793"/>
      <c r="G132" s="232">
        <f>H38</f>
        <v>0</v>
      </c>
      <c r="H132" s="232">
        <f>I38</f>
        <v>0</v>
      </c>
      <c r="I132" s="232">
        <f>K38</f>
        <v>0</v>
      </c>
      <c r="J132" s="291"/>
      <c r="K132" s="291"/>
      <c r="L132" s="292"/>
      <c r="M132" s="10"/>
      <c r="O132" s="10" t="s">
        <v>505</v>
      </c>
      <c r="P132" s="10" t="s">
        <v>503</v>
      </c>
    </row>
    <row r="133" spans="1:16" x14ac:dyDescent="0.3">
      <c r="B133" s="72"/>
      <c r="C133" s="84"/>
      <c r="D133" s="84"/>
      <c r="E133" s="84"/>
      <c r="F133" s="84"/>
      <c r="G133" s="84"/>
      <c r="H133" s="84"/>
      <c r="I133" s="84"/>
      <c r="J133" s="209"/>
      <c r="K133" s="209"/>
      <c r="L133" s="210"/>
      <c r="M133" s="10"/>
    </row>
    <row r="134" spans="1:16" s="262" customFormat="1" x14ac:dyDescent="0.3">
      <c r="A134" s="7"/>
      <c r="B134" s="263"/>
      <c r="C134" s="263"/>
      <c r="D134" s="90"/>
      <c r="E134" s="261"/>
      <c r="F134" s="261"/>
      <c r="G134" s="261"/>
      <c r="H134" s="261"/>
      <c r="I134" s="261"/>
      <c r="J134" s="261"/>
      <c r="K134" s="261"/>
      <c r="L134" s="261"/>
      <c r="M134" s="73"/>
    </row>
    <row r="135" spans="1:16" x14ac:dyDescent="0.3">
      <c r="B135" s="506" t="str">
        <f>IF(Intro!$G$20="English",O135,P135)</f>
        <v>IMPORTS OF BENCHMARK PRODUCTS</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 xml:space="preserve">Report the volume and value of imports for each benchmark product listed below : </v>
      </c>
      <c r="C138" s="504"/>
      <c r="D138" s="504"/>
      <c r="E138" s="504"/>
      <c r="F138" s="504"/>
      <c r="G138" s="504"/>
      <c r="H138" s="504"/>
      <c r="I138" s="504"/>
      <c r="J138" s="504"/>
      <c r="K138" s="504"/>
      <c r="L138" s="505"/>
      <c r="M138" s="10"/>
      <c r="O138" s="18" t="s">
        <v>191</v>
      </c>
      <c r="P138" s="10" t="s">
        <v>192</v>
      </c>
    </row>
    <row r="139" spans="1:16" x14ac:dyDescent="0.3">
      <c r="B139" s="258"/>
      <c r="C139" s="259"/>
      <c r="D139" s="35"/>
      <c r="E139" s="36"/>
      <c r="F139" s="36"/>
      <c r="G139" s="36"/>
      <c r="H139" s="36"/>
      <c r="I139" s="36"/>
      <c r="J139" s="36"/>
      <c r="K139" s="36"/>
      <c r="L139" s="17"/>
      <c r="M139" s="10"/>
      <c r="O139" s="18"/>
    </row>
    <row r="140" spans="1:16" x14ac:dyDescent="0.3">
      <c r="B140" s="779"/>
      <c r="C140" s="780"/>
      <c r="D140" s="781"/>
      <c r="E140" s="264" t="str">
        <f t="shared" ref="E140:L140" si="36">E96</f>
        <v>Q2 - 2024</v>
      </c>
      <c r="F140" s="264" t="str">
        <f t="shared" si="36"/>
        <v>Q3 - 2024</v>
      </c>
      <c r="G140" s="264" t="str">
        <f t="shared" si="36"/>
        <v>Q4 - 2024</v>
      </c>
      <c r="H140" s="264" t="str">
        <f t="shared" si="36"/>
        <v>Q1 - 2025</v>
      </c>
      <c r="I140" s="264" t="str">
        <f t="shared" si="36"/>
        <v>Q2 - 2025</v>
      </c>
      <c r="J140" s="264" t="str">
        <f t="shared" si="36"/>
        <v>Q3 - 2025</v>
      </c>
      <c r="K140" s="264" t="str">
        <f t="shared" si="36"/>
        <v>Q4 - 2025</v>
      </c>
      <c r="L140" s="265" t="str">
        <f t="shared" si="36"/>
        <v>Q1 - 2026</v>
      </c>
      <c r="M140" s="10"/>
      <c r="O140" s="18"/>
    </row>
    <row r="141" spans="1:16" x14ac:dyDescent="0.3">
      <c r="B141" s="772" t="str">
        <f>IF(Intro!$G$20="English",Variables!B30,Variables!C30)</f>
        <v>SAG Balls - 5.0" (125mm) within a 5% tolerance</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D$27</f>
        <v>tonnes</v>
      </c>
      <c r="C143" s="736"/>
      <c r="D143" s="736"/>
      <c r="E143" s="141"/>
      <c r="F143" s="141"/>
      <c r="G143" s="141"/>
      <c r="H143" s="141"/>
      <c r="I143" s="141"/>
      <c r="J143" s="141"/>
      <c r="K143" s="141"/>
      <c r="L143" s="142"/>
      <c r="M143" s="10"/>
    </row>
    <row r="144" spans="1:16" x14ac:dyDescent="0.3">
      <c r="B144" s="735" t="str">
        <f>D$28</f>
        <v>net delivered purchase value (CAD)</v>
      </c>
      <c r="C144" s="736"/>
      <c r="D144" s="736"/>
      <c r="E144" s="141"/>
      <c r="F144" s="141"/>
      <c r="G144" s="141"/>
      <c r="H144" s="141"/>
      <c r="I144" s="141"/>
      <c r="J144" s="141"/>
      <c r="K144" s="141"/>
      <c r="L144" s="142"/>
      <c r="M144" s="10"/>
    </row>
    <row r="145" spans="2:13" x14ac:dyDescent="0.3">
      <c r="B145" s="735" t="str">
        <f>D$29</f>
        <v>$ / tonne</v>
      </c>
      <c r="C145" s="736"/>
      <c r="D145" s="736"/>
      <c r="E145" s="289" t="str">
        <f t="shared" ref="E145:L145" si="37">IF(E143=0,"-",E144/E143)</f>
        <v>-</v>
      </c>
      <c r="F145" s="289" t="str">
        <f t="shared" si="37"/>
        <v>-</v>
      </c>
      <c r="G145" s="289" t="str">
        <f t="shared" si="37"/>
        <v>-</v>
      </c>
      <c r="H145" s="289" t="str">
        <f t="shared" si="37"/>
        <v>-</v>
      </c>
      <c r="I145" s="289" t="str">
        <f t="shared" si="37"/>
        <v>-</v>
      </c>
      <c r="J145" s="289" t="str">
        <f t="shared" si="37"/>
        <v>-</v>
      </c>
      <c r="K145" s="289" t="str">
        <f t="shared" si="37"/>
        <v>-</v>
      </c>
      <c r="L145" s="289" t="str">
        <f t="shared" si="37"/>
        <v>-</v>
      </c>
      <c r="M145" s="10"/>
    </row>
    <row r="146" spans="2:13" x14ac:dyDescent="0.3">
      <c r="B146" s="772" t="str">
        <f>IF(Intro!$G$20="English",Variables!B31,Variables!C31)</f>
        <v>SAG Balls - 5.25" (133mm) within a 5% tolerance</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D$27</f>
        <v>tonnes</v>
      </c>
      <c r="C148" s="736"/>
      <c r="D148" s="736"/>
      <c r="E148" s="141"/>
      <c r="F148" s="141"/>
      <c r="G148" s="141"/>
      <c r="H148" s="141"/>
      <c r="I148" s="141"/>
      <c r="J148" s="141"/>
      <c r="K148" s="141"/>
      <c r="L148" s="142"/>
      <c r="M148" s="10"/>
    </row>
    <row r="149" spans="2:13" x14ac:dyDescent="0.3">
      <c r="B149" s="735" t="str">
        <f>D$28</f>
        <v>net delivered purchase value (CAD)</v>
      </c>
      <c r="C149" s="736"/>
      <c r="D149" s="736"/>
      <c r="E149" s="141"/>
      <c r="F149" s="141"/>
      <c r="G149" s="141"/>
      <c r="H149" s="141"/>
      <c r="I149" s="141"/>
      <c r="J149" s="141"/>
      <c r="K149" s="141"/>
      <c r="L149" s="142"/>
      <c r="M149" s="10"/>
    </row>
    <row r="150" spans="2:13" x14ac:dyDescent="0.3">
      <c r="B150" s="735" t="str">
        <f>D$29</f>
        <v>$ / tonne</v>
      </c>
      <c r="C150" s="736"/>
      <c r="D150" s="736"/>
      <c r="E150" s="289" t="str">
        <f t="shared" ref="E150" si="38">IF(E148=0,"-",E149/E148)</f>
        <v>-</v>
      </c>
      <c r="F150" s="289" t="str">
        <f t="shared" ref="F150" si="39">IF(F148=0,"-",F149/F148)</f>
        <v>-</v>
      </c>
      <c r="G150" s="289" t="str">
        <f t="shared" ref="G150" si="40">IF(G148=0,"-",G149/G148)</f>
        <v>-</v>
      </c>
      <c r="H150" s="289" t="str">
        <f t="shared" ref="H150" si="41">IF(H148=0,"-",H149/H148)</f>
        <v>-</v>
      </c>
      <c r="I150" s="289" t="str">
        <f t="shared" ref="I150" si="42">IF(I148=0,"-",I149/I148)</f>
        <v>-</v>
      </c>
      <c r="J150" s="289" t="str">
        <f t="shared" ref="J150" si="43">IF(J148=0,"-",J149/J148)</f>
        <v>-</v>
      </c>
      <c r="K150" s="289" t="str">
        <f t="shared" ref="K150" si="44">IF(K148=0,"-",K149/K148)</f>
        <v>-</v>
      </c>
      <c r="L150" s="289" t="str">
        <f t="shared" ref="L150" si="45">IF(L148=0,"-",L149/L148)</f>
        <v>-</v>
      </c>
      <c r="M150" s="10"/>
    </row>
    <row r="151" spans="2:13" x14ac:dyDescent="0.3">
      <c r="B151" s="772" t="str">
        <f>IF(Intro!$G$20="English",Variables!B32,Variables!C32)</f>
        <v>Mid-size Balls - 2.5" (65mm) within a 5% tolerance</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D$27</f>
        <v>tonnes</v>
      </c>
      <c r="C153" s="736"/>
      <c r="D153" s="736"/>
      <c r="E153" s="141"/>
      <c r="F153" s="141"/>
      <c r="G153" s="141"/>
      <c r="H153" s="141"/>
      <c r="I153" s="141"/>
      <c r="J153" s="141"/>
      <c r="K153" s="141"/>
      <c r="L153" s="142"/>
      <c r="M153" s="10"/>
    </row>
    <row r="154" spans="2:13" x14ac:dyDescent="0.3">
      <c r="B154" s="735" t="str">
        <f>D$28</f>
        <v>net delivered purchase value (CAD)</v>
      </c>
      <c r="C154" s="736"/>
      <c r="D154" s="736"/>
      <c r="E154" s="141"/>
      <c r="F154" s="141"/>
      <c r="G154" s="141"/>
      <c r="H154" s="141"/>
      <c r="I154" s="141"/>
      <c r="J154" s="141"/>
      <c r="K154" s="141"/>
      <c r="L154" s="142"/>
      <c r="M154" s="10"/>
    </row>
    <row r="155" spans="2:13" x14ac:dyDescent="0.3">
      <c r="B155" s="735" t="str">
        <f>D$29</f>
        <v>$ / tonne</v>
      </c>
      <c r="C155" s="736"/>
      <c r="D155" s="736"/>
      <c r="E155" s="289" t="str">
        <f t="shared" ref="E155" si="46">IF(E153=0,"-",E154/E153)</f>
        <v>-</v>
      </c>
      <c r="F155" s="289" t="str">
        <f t="shared" ref="F155" si="47">IF(F153=0,"-",F154/F153)</f>
        <v>-</v>
      </c>
      <c r="G155" s="289" t="str">
        <f t="shared" ref="G155" si="48">IF(G153=0,"-",G154/G153)</f>
        <v>-</v>
      </c>
      <c r="H155" s="289" t="str">
        <f t="shared" ref="H155" si="49">IF(H153=0,"-",H154/H153)</f>
        <v>-</v>
      </c>
      <c r="I155" s="289" t="str">
        <f t="shared" ref="I155" si="50">IF(I153=0,"-",I154/I153)</f>
        <v>-</v>
      </c>
      <c r="J155" s="289" t="str">
        <f t="shared" ref="J155" si="51">IF(J153=0,"-",J154/J153)</f>
        <v>-</v>
      </c>
      <c r="K155" s="289" t="str">
        <f t="shared" ref="K155" si="52">IF(K153=0,"-",K154/K153)</f>
        <v>-</v>
      </c>
      <c r="L155" s="289" t="str">
        <f t="shared" ref="L155" si="53">IF(L153=0,"-",L154/L153)</f>
        <v>-</v>
      </c>
      <c r="M155" s="10"/>
    </row>
    <row r="156" spans="2:13" x14ac:dyDescent="0.3">
      <c r="B156" s="772" t="str">
        <f>IF(Intro!$G$20="English",Variables!B33,Variables!C33)</f>
        <v>Mid-size Balls - 3.5" (94mm) within a 5% tolerance</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D$27</f>
        <v>tonnes</v>
      </c>
      <c r="C158" s="736"/>
      <c r="D158" s="736"/>
      <c r="E158" s="141"/>
      <c r="F158" s="141"/>
      <c r="G158" s="141"/>
      <c r="H158" s="141"/>
      <c r="I158" s="141"/>
      <c r="J158" s="141"/>
      <c r="K158" s="141"/>
      <c r="L158" s="142"/>
      <c r="M158" s="10"/>
    </row>
    <row r="159" spans="2:13" x14ac:dyDescent="0.3">
      <c r="B159" s="735" t="str">
        <f>D$28</f>
        <v>net delivered purchase value (CAD)</v>
      </c>
      <c r="C159" s="736"/>
      <c r="D159" s="736"/>
      <c r="E159" s="141"/>
      <c r="F159" s="141"/>
      <c r="G159" s="141"/>
      <c r="H159" s="141"/>
      <c r="I159" s="141"/>
      <c r="J159" s="141"/>
      <c r="K159" s="141"/>
      <c r="L159" s="142"/>
      <c r="M159" s="10"/>
    </row>
    <row r="160" spans="2:13" x14ac:dyDescent="0.3">
      <c r="B160" s="735" t="str">
        <f>D$29</f>
        <v>$ / tonne</v>
      </c>
      <c r="C160" s="736"/>
      <c r="D160" s="736"/>
      <c r="E160" s="289" t="str">
        <f t="shared" ref="E160" si="54">IF(E158=0,"-",E159/E158)</f>
        <v>-</v>
      </c>
      <c r="F160" s="289" t="str">
        <f t="shared" ref="F160" si="55">IF(F158=0,"-",F159/F158)</f>
        <v>-</v>
      </c>
      <c r="G160" s="289" t="str">
        <f t="shared" ref="G160" si="56">IF(G158=0,"-",G159/G158)</f>
        <v>-</v>
      </c>
      <c r="H160" s="289" t="str">
        <f t="shared" ref="H160" si="57">IF(H158=0,"-",H159/H158)</f>
        <v>-</v>
      </c>
      <c r="I160" s="289" t="str">
        <f t="shared" ref="I160" si="58">IF(I158=0,"-",I159/I158)</f>
        <v>-</v>
      </c>
      <c r="J160" s="289" t="str">
        <f t="shared" ref="J160" si="59">IF(J158=0,"-",J159/J158)</f>
        <v>-</v>
      </c>
      <c r="K160" s="289" t="str">
        <f t="shared" ref="K160" si="60">IF(K158=0,"-",K159/K158)</f>
        <v>-</v>
      </c>
      <c r="L160" s="289" t="str">
        <f t="shared" ref="L160" si="61">IF(L158=0,"-",L159/L158)</f>
        <v>-</v>
      </c>
      <c r="M160" s="10"/>
    </row>
    <row r="161" spans="2:13" x14ac:dyDescent="0.3">
      <c r="B161" s="772" t="str">
        <f>IF(Intro!$G$20="English",Variables!B34,Variables!C34)</f>
        <v>Regrind Balls - 1.0" (25mm) within a 5% tolerance</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D$27</f>
        <v>tonnes</v>
      </c>
      <c r="C163" s="736"/>
      <c r="D163" s="736"/>
      <c r="E163" s="141"/>
      <c r="F163" s="141"/>
      <c r="G163" s="141"/>
      <c r="H163" s="141"/>
      <c r="I163" s="141"/>
      <c r="J163" s="141"/>
      <c r="K163" s="141"/>
      <c r="L163" s="142"/>
      <c r="M163" s="10"/>
    </row>
    <row r="164" spans="2:13" x14ac:dyDescent="0.3">
      <c r="B164" s="735" t="str">
        <f>D$28</f>
        <v>net delivered purchase value (CAD)</v>
      </c>
      <c r="C164" s="736"/>
      <c r="D164" s="736"/>
      <c r="E164" s="141"/>
      <c r="F164" s="141"/>
      <c r="G164" s="141"/>
      <c r="H164" s="141"/>
      <c r="I164" s="141"/>
      <c r="J164" s="141"/>
      <c r="K164" s="141"/>
      <c r="L164" s="142"/>
      <c r="M164" s="10"/>
    </row>
    <row r="165" spans="2:13" x14ac:dyDescent="0.3">
      <c r="B165" s="735" t="str">
        <f>D$29</f>
        <v>$ / tonne</v>
      </c>
      <c r="C165" s="736"/>
      <c r="D165" s="736"/>
      <c r="E165" s="289" t="str">
        <f t="shared" ref="E165" si="62">IF(E163=0,"-",E164/E163)</f>
        <v>-</v>
      </c>
      <c r="F165" s="289" t="str">
        <f t="shared" ref="F165" si="63">IF(F163=0,"-",F164/F163)</f>
        <v>-</v>
      </c>
      <c r="G165" s="289" t="str">
        <f t="shared" ref="G165" si="64">IF(G163=0,"-",G164/G163)</f>
        <v>-</v>
      </c>
      <c r="H165" s="289" t="str">
        <f t="shared" ref="H165" si="65">IF(H163=0,"-",H164/H163)</f>
        <v>-</v>
      </c>
      <c r="I165" s="289" t="str">
        <f t="shared" ref="I165" si="66">IF(I163=0,"-",I164/I163)</f>
        <v>-</v>
      </c>
      <c r="J165" s="289" t="str">
        <f t="shared" ref="J165" si="67">IF(J163=0,"-",J164/J163)</f>
        <v>-</v>
      </c>
      <c r="K165" s="289" t="str">
        <f t="shared" ref="K165" si="68">IF(K163=0,"-",K164/K163)</f>
        <v>-</v>
      </c>
      <c r="L165" s="289" t="str">
        <f t="shared" ref="L165" si="69">IF(L163=0,"-",L164/L163)</f>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D$27</f>
        <v>tonnes</v>
      </c>
      <c r="C168" s="777"/>
      <c r="D168" s="778"/>
      <c r="E168" s="141"/>
      <c r="F168" s="141"/>
      <c r="G168" s="141"/>
      <c r="H168" s="141"/>
      <c r="I168" s="141"/>
      <c r="J168" s="141"/>
      <c r="K168" s="141"/>
      <c r="L168" s="142"/>
      <c r="M168" s="10"/>
    </row>
    <row r="169" spans="2:13" hidden="1" x14ac:dyDescent="0.3">
      <c r="B169" s="776" t="str">
        <f>D$28</f>
        <v>net delivered purchase value (CAD)</v>
      </c>
      <c r="C169" s="777"/>
      <c r="D169" s="778"/>
      <c r="E169" s="141"/>
      <c r="F169" s="141"/>
      <c r="G169" s="141"/>
      <c r="H169" s="141"/>
      <c r="I169" s="141"/>
      <c r="J169" s="141"/>
      <c r="K169" s="141"/>
      <c r="L169" s="142"/>
      <c r="M169" s="10"/>
    </row>
    <row r="170" spans="2:13" hidden="1" x14ac:dyDescent="0.3">
      <c r="B170" s="776" t="str">
        <f>D$29</f>
        <v>$ / tonne</v>
      </c>
      <c r="C170" s="777"/>
      <c r="D170" s="778"/>
      <c r="E170" s="289" t="str">
        <f t="shared" ref="E170" si="70">IF(E168=0,"-",E169/E168)</f>
        <v>-</v>
      </c>
      <c r="F170" s="289" t="str">
        <f t="shared" ref="F170" si="71">IF(F168=0,"-",F169/F168)</f>
        <v>-</v>
      </c>
      <c r="G170" s="289" t="str">
        <f t="shared" ref="G170" si="72">IF(G168=0,"-",G169/G168)</f>
        <v>-</v>
      </c>
      <c r="H170" s="289" t="str">
        <f t="shared" ref="H170" si="73">IF(H168=0,"-",H169/H168)</f>
        <v>-</v>
      </c>
      <c r="I170" s="289" t="str">
        <f t="shared" ref="I170" si="74">IF(I168=0,"-",I169/I168)</f>
        <v>-</v>
      </c>
      <c r="J170" s="289" t="str">
        <f t="shared" ref="J170" si="75">IF(J168=0,"-",J169/J168)</f>
        <v>-</v>
      </c>
      <c r="K170" s="289" t="str">
        <f t="shared" ref="K170" si="76">IF(K168=0,"-",K169/K168)</f>
        <v>-</v>
      </c>
      <c r="L170" s="289" t="str">
        <f t="shared" ref="L170" si="77">IF(L168=0,"-",L169/L168)</f>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D$27</f>
        <v>tonnes</v>
      </c>
      <c r="C173" s="777"/>
      <c r="D173" s="778"/>
      <c r="E173" s="141"/>
      <c r="F173" s="141"/>
      <c r="G173" s="141"/>
      <c r="H173" s="141"/>
      <c r="I173" s="141"/>
      <c r="J173" s="141"/>
      <c r="K173" s="141"/>
      <c r="L173" s="142"/>
      <c r="M173" s="10"/>
    </row>
    <row r="174" spans="2:13" hidden="1" x14ac:dyDescent="0.3">
      <c r="B174" s="776" t="str">
        <f>D$28</f>
        <v>net delivered purchase value (CAD)</v>
      </c>
      <c r="C174" s="777"/>
      <c r="D174" s="778"/>
      <c r="E174" s="141"/>
      <c r="F174" s="141"/>
      <c r="G174" s="141"/>
      <c r="H174" s="141"/>
      <c r="I174" s="141"/>
      <c r="J174" s="141"/>
      <c r="K174" s="141"/>
      <c r="L174" s="142"/>
      <c r="M174" s="10"/>
    </row>
    <row r="175" spans="2:13" hidden="1" x14ac:dyDescent="0.3">
      <c r="B175" s="776" t="str">
        <f>D$29</f>
        <v>$ / tonne</v>
      </c>
      <c r="C175" s="777"/>
      <c r="D175" s="778"/>
      <c r="E175" s="289" t="str">
        <f t="shared" ref="E175" si="78">IF(E173=0,"-",E174/E173)</f>
        <v>-</v>
      </c>
      <c r="F175" s="289" t="str">
        <f t="shared" ref="F175" si="79">IF(F173=0,"-",F174/F173)</f>
        <v>-</v>
      </c>
      <c r="G175" s="289" t="str">
        <f t="shared" ref="G175" si="80">IF(G173=0,"-",G174/G173)</f>
        <v>-</v>
      </c>
      <c r="H175" s="289" t="str">
        <f t="shared" ref="H175" si="81">IF(H173=0,"-",H174/H173)</f>
        <v>-</v>
      </c>
      <c r="I175" s="289" t="str">
        <f t="shared" ref="I175" si="82">IF(I173=0,"-",I174/I173)</f>
        <v>-</v>
      </c>
      <c r="J175" s="289" t="str">
        <f t="shared" ref="J175" si="83">IF(J173=0,"-",J174/J173)</f>
        <v>-</v>
      </c>
      <c r="K175" s="289" t="str">
        <f t="shared" ref="K175" si="84">IF(K173=0,"-",K174/K173)</f>
        <v>-</v>
      </c>
      <c r="L175" s="289" t="str">
        <f t="shared" ref="L175" si="85">IF(L173=0,"-",L174/L173)</f>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D$27</f>
        <v>tonnes</v>
      </c>
      <c r="C178" s="777"/>
      <c r="D178" s="778"/>
      <c r="E178" s="141"/>
      <c r="F178" s="141"/>
      <c r="G178" s="141"/>
      <c r="H178" s="141"/>
      <c r="I178" s="141"/>
      <c r="J178" s="141"/>
      <c r="K178" s="141"/>
      <c r="L178" s="142"/>
      <c r="M178" s="10"/>
    </row>
    <row r="179" spans="2:19" hidden="1" x14ac:dyDescent="0.3">
      <c r="B179" s="776" t="str">
        <f>D$28</f>
        <v>net delivered purchase value (CAD)</v>
      </c>
      <c r="C179" s="777"/>
      <c r="D179" s="778"/>
      <c r="E179" s="141"/>
      <c r="F179" s="141"/>
      <c r="G179" s="141"/>
      <c r="H179" s="141"/>
      <c r="I179" s="141"/>
      <c r="J179" s="141"/>
      <c r="K179" s="141"/>
      <c r="L179" s="142"/>
      <c r="M179" s="10"/>
    </row>
    <row r="180" spans="2:19" hidden="1" x14ac:dyDescent="0.3">
      <c r="B180" s="776" t="str">
        <f>D$29</f>
        <v>$ / tonne</v>
      </c>
      <c r="C180" s="777"/>
      <c r="D180" s="778"/>
      <c r="E180" s="289" t="str">
        <f t="shared" ref="E180" si="86">IF(E178=0,"-",E179/E178)</f>
        <v>-</v>
      </c>
      <c r="F180" s="289" t="str">
        <f t="shared" ref="F180" si="87">IF(F178=0,"-",F179/F178)</f>
        <v>-</v>
      </c>
      <c r="G180" s="289" t="str">
        <f t="shared" ref="G180" si="88">IF(G178=0,"-",G179/G178)</f>
        <v>-</v>
      </c>
      <c r="H180" s="289" t="str">
        <f t="shared" ref="H180" si="89">IF(H178=0,"-",H179/H178)</f>
        <v>-</v>
      </c>
      <c r="I180" s="289" t="str">
        <f t="shared" ref="I180" si="90">IF(I178=0,"-",I179/I178)</f>
        <v>-</v>
      </c>
      <c r="J180" s="289" t="str">
        <f t="shared" ref="J180" si="91">IF(J178=0,"-",J179/J178)</f>
        <v>-</v>
      </c>
      <c r="K180" s="289" t="str">
        <f t="shared" ref="K180" si="92">IF(K178=0,"-",K179/K178)</f>
        <v>-</v>
      </c>
      <c r="L180" s="289" t="str">
        <f t="shared" ref="L180" si="93">IF(L178=0,"-",L179/L178)</f>
        <v>-</v>
      </c>
      <c r="M180" s="10"/>
    </row>
    <row r="181" spans="2:19" x14ac:dyDescent="0.3">
      <c r="B181" s="258"/>
      <c r="C181" s="259"/>
      <c r="D181" s="259"/>
      <c r="E181" s="29"/>
      <c r="F181" s="29"/>
      <c r="G181" s="29"/>
      <c r="H181" s="29"/>
      <c r="I181" s="29"/>
      <c r="J181" s="29"/>
      <c r="K181" s="29"/>
      <c r="L181" s="30"/>
      <c r="M181" s="10"/>
    </row>
    <row r="182" spans="2:19" x14ac:dyDescent="0.3">
      <c r="B182" s="503" t="str">
        <f>IF(Intro!$G$20="English",O182,P182)</f>
        <v>In the table below, “Error” means that the total imports of your firm's benchmark products exceed your firm's total imports for that period. Therefore, please modify the above data if necessary.</v>
      </c>
      <c r="C182" s="504"/>
      <c r="D182" s="504"/>
      <c r="E182" s="504"/>
      <c r="F182" s="504"/>
      <c r="G182" s="504"/>
      <c r="H182" s="504"/>
      <c r="I182" s="504"/>
      <c r="J182" s="504"/>
      <c r="K182" s="504"/>
      <c r="L182" s="505"/>
      <c r="M182" s="10"/>
      <c r="O182" s="10" t="s">
        <v>366</v>
      </c>
      <c r="P182" s="10" t="s">
        <v>367</v>
      </c>
      <c r="S182" s="38"/>
    </row>
    <row r="183" spans="2:19" x14ac:dyDescent="0.3">
      <c r="B183" s="503"/>
      <c r="C183" s="504"/>
      <c r="D183" s="504"/>
      <c r="E183" s="504"/>
      <c r="F183" s="504"/>
      <c r="G183" s="504"/>
      <c r="H183" s="504"/>
      <c r="I183" s="504"/>
      <c r="J183" s="504"/>
      <c r="K183" s="504"/>
      <c r="L183" s="505"/>
      <c r="M183" s="10"/>
      <c r="S183" s="38"/>
    </row>
    <row r="184" spans="2:19" x14ac:dyDescent="0.3">
      <c r="B184" s="258"/>
      <c r="C184" s="259"/>
      <c r="D184" s="259"/>
      <c r="E184" s="29"/>
      <c r="F184" s="29"/>
      <c r="G184" s="29"/>
      <c r="H184" s="29"/>
      <c r="I184" s="29"/>
      <c r="J184" s="29"/>
      <c r="K184" s="29"/>
      <c r="L184" s="30"/>
      <c r="M184" s="10"/>
      <c r="S184" s="38"/>
    </row>
    <row r="185" spans="2:19" ht="14.1" customHeight="1" x14ac:dyDescent="0.3">
      <c r="B185" s="763" t="str">
        <f>Variables!D62</f>
        <v>Verification - volume</v>
      </c>
      <c r="C185" s="764"/>
      <c r="D185" s="764"/>
      <c r="E185" s="764"/>
      <c r="F185" s="765"/>
      <c r="G185" s="264">
        <f>G125</f>
        <v>2024</v>
      </c>
      <c r="H185" s="264">
        <f>H125</f>
        <v>2025</v>
      </c>
      <c r="I185" s="264" t="str">
        <f>I125</f>
        <v>Q1 - 2026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Okay</v>
      </c>
      <c r="H186" s="232" t="str">
        <f>IF(SUM(H143:K143,H148:K148,H153:K153,H158:K158,H163:K163,H168:K168,H173:K173,H178:K178)&gt;SUM(I27,I43,I59),Variables!$D$63,Variables!$D$64)</f>
        <v>Okay</v>
      </c>
      <c r="I186" s="232" t="str">
        <f>IF(SUM(L143,L148,L153,L158,L163,L168,L173,L178)&gt;SUM(K27,K43,K59),Variables!$D$63,Variables!$D$64)</f>
        <v>Okay</v>
      </c>
      <c r="J186" s="291"/>
      <c r="K186" s="291"/>
      <c r="L186" s="292"/>
      <c r="M186" s="10"/>
    </row>
    <row r="187" spans="2:19" ht="14.1" customHeight="1" x14ac:dyDescent="0.3">
      <c r="B187" s="783" t="str">
        <f>IF(Intro!$G$20="English",O187,P187)</f>
        <v>volume - total imports of benchmark products (Question 3)</v>
      </c>
      <c r="C187" s="784"/>
      <c r="D187" s="784"/>
      <c r="E187" s="784"/>
      <c r="F187" s="785"/>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3" t="str">
        <f>IF(Intro!$G$20="English",O188,P188)</f>
        <v>volume - total imports (Question 1)</v>
      </c>
      <c r="C188" s="784"/>
      <c r="D188" s="784"/>
      <c r="E188" s="784"/>
      <c r="F188" s="785"/>
      <c r="G188" s="232">
        <f>H27</f>
        <v>0</v>
      </c>
      <c r="H188" s="232">
        <f>I27</f>
        <v>0</v>
      </c>
      <c r="I188" s="232">
        <f>K27</f>
        <v>0</v>
      </c>
      <c r="J188" s="291"/>
      <c r="K188" s="291"/>
      <c r="L188" s="292"/>
      <c r="M188" s="10"/>
      <c r="O188" s="10" t="s">
        <v>493</v>
      </c>
      <c r="P188" s="10" t="s">
        <v>494</v>
      </c>
    </row>
    <row r="189" spans="2:19" x14ac:dyDescent="0.3">
      <c r="B189" s="763" t="str">
        <f>Variables!D66</f>
        <v>Verification - value</v>
      </c>
      <c r="C189" s="764"/>
      <c r="D189" s="764"/>
      <c r="E189" s="764"/>
      <c r="F189" s="765"/>
      <c r="G189" s="264">
        <f>G185</f>
        <v>2024</v>
      </c>
      <c r="H189" s="264">
        <f>H185</f>
        <v>2025</v>
      </c>
      <c r="I189" s="264" t="str">
        <f>I185</f>
        <v>Q1 - 2026</v>
      </c>
      <c r="J189" s="291"/>
      <c r="K189" s="291"/>
      <c r="L189" s="292"/>
      <c r="M189" s="10"/>
    </row>
    <row r="190" spans="2:19" ht="14.1" customHeight="1" x14ac:dyDescent="0.3">
      <c r="B190" s="776" t="str">
        <f>B144</f>
        <v>net delivered purchase value (CAD)</v>
      </c>
      <c r="C190" s="777"/>
      <c r="D190" s="777"/>
      <c r="E190" s="777"/>
      <c r="F190" s="778"/>
      <c r="G190" s="232" t="str">
        <f>IF(SUM(E144:G144,E149:G149,E154:G154,E159:G159,E164:G164,E169:G169,E174:G174,E179:G179)&gt;SUM(H28,H44,H60),Variables!$D$63,Variables!$D$64)</f>
        <v>Okay</v>
      </c>
      <c r="H190" s="232" t="str">
        <f>IF(SUM(H144:K144,H149:K149,H154:K154,H159:K159,H164:K164,H169:K169,H174:K174,H179:K179)&gt;SUM(I28,I44,I60),Variables!$D$63,Variables!$D$64)</f>
        <v>Okay</v>
      </c>
      <c r="I190" s="232" t="str">
        <f>IF(SUM(L144,L149,L154,L159,L164,L169,L174,L179)&gt;SUM(K28,K44,K60),Variables!$D$63,Variables!$D$64)</f>
        <v>Okay</v>
      </c>
      <c r="J190" s="291"/>
      <c r="K190" s="291"/>
      <c r="L190" s="292"/>
      <c r="M190" s="10"/>
    </row>
    <row r="191" spans="2:19" ht="14.1" customHeight="1" x14ac:dyDescent="0.3">
      <c r="B191" s="783" t="str">
        <f>IF(Intro!$G$20="English",O191,P191)</f>
        <v>value - total imports of benchmark products (Question 3)</v>
      </c>
      <c r="C191" s="784"/>
      <c r="D191" s="784"/>
      <c r="E191" s="784"/>
      <c r="F191" s="785"/>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3" t="str">
        <f>IF(Intro!$G$20="English",O192,P192)</f>
        <v>value - total imports (Question 1)</v>
      </c>
      <c r="C192" s="784"/>
      <c r="D192" s="784"/>
      <c r="E192" s="784"/>
      <c r="F192" s="785"/>
      <c r="G192" s="232">
        <f>H28</f>
        <v>0</v>
      </c>
      <c r="H192" s="232">
        <f>I28</f>
        <v>0</v>
      </c>
      <c r="I192" s="232">
        <f>K28</f>
        <v>0</v>
      </c>
      <c r="J192" s="291"/>
      <c r="K192" s="291"/>
      <c r="L192" s="292"/>
      <c r="M192" s="10"/>
      <c r="O192" s="10" t="s">
        <v>571</v>
      </c>
      <c r="P192" s="10" t="s">
        <v>497</v>
      </c>
    </row>
    <row r="193" spans="1:16" x14ac:dyDescent="0.3">
      <c r="B193" s="72"/>
      <c r="C193" s="84"/>
      <c r="D193" s="84"/>
      <c r="E193" s="84"/>
      <c r="F193" s="84"/>
      <c r="G193" s="84"/>
      <c r="H193" s="84"/>
      <c r="I193" s="84"/>
      <c r="J193" s="84"/>
      <c r="K193" s="84"/>
      <c r="L193" s="85"/>
      <c r="M193" s="10"/>
    </row>
    <row r="194" spans="1:16" s="262" customFormat="1" x14ac:dyDescent="0.3">
      <c r="A194" s="7"/>
      <c r="B194" s="92"/>
      <c r="C194" s="92"/>
      <c r="D194" s="90"/>
      <c r="E194" s="261"/>
      <c r="F194" s="261"/>
      <c r="G194" s="261"/>
      <c r="H194" s="261"/>
      <c r="I194" s="261"/>
      <c r="J194" s="261"/>
      <c r="K194" s="261"/>
      <c r="L194" s="261"/>
      <c r="M194" s="73"/>
    </row>
    <row r="195" spans="1:16" x14ac:dyDescent="0.3">
      <c r="B195" s="506" t="str">
        <f>IF(Intro!$G$20="English",O195,P195)</f>
        <v>SALES IN CANADA OF IMPORTS OF BENCHMARK PRODUCTS</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 xml:space="preserve">Report the volume and value of sales of imports in Canada for each benchmark product listed below : </v>
      </c>
      <c r="C198" s="504"/>
      <c r="D198" s="504"/>
      <c r="E198" s="504"/>
      <c r="F198" s="504"/>
      <c r="G198" s="504"/>
      <c r="H198" s="504"/>
      <c r="I198" s="504"/>
      <c r="J198" s="504"/>
      <c r="K198" s="504"/>
      <c r="L198" s="505"/>
      <c r="M198" s="10"/>
      <c r="O198" s="18" t="s">
        <v>170</v>
      </c>
      <c r="P198" s="10" t="s">
        <v>435</v>
      </c>
    </row>
    <row r="199" spans="1:16" x14ac:dyDescent="0.3">
      <c r="B199" s="503" t="str">
        <f>Pro!B22</f>
        <v>Note - Only complete this question if your firm sold the goods between January 1, 2023, and March 31, 2026.</v>
      </c>
      <c r="C199" s="504"/>
      <c r="D199" s="504"/>
      <c r="E199" s="504"/>
      <c r="F199" s="504"/>
      <c r="G199" s="504"/>
      <c r="H199" s="504"/>
      <c r="I199" s="504"/>
      <c r="J199" s="504"/>
      <c r="K199" s="504"/>
      <c r="L199" s="505"/>
      <c r="M199" s="10"/>
      <c r="O199" s="18"/>
    </row>
    <row r="200" spans="1:16" x14ac:dyDescent="0.3">
      <c r="B200" s="258"/>
      <c r="C200" s="259"/>
      <c r="D200" s="35"/>
      <c r="E200" s="36"/>
      <c r="F200" s="36"/>
      <c r="G200" s="36"/>
      <c r="H200" s="36"/>
      <c r="I200" s="36"/>
      <c r="J200" s="36"/>
      <c r="K200" s="36"/>
      <c r="L200" s="17"/>
      <c r="M200" s="10"/>
      <c r="O200" s="18"/>
    </row>
    <row r="201" spans="1:16" x14ac:dyDescent="0.3">
      <c r="B201" s="779"/>
      <c r="C201" s="780"/>
      <c r="D201" s="781"/>
      <c r="E201" s="264" t="str">
        <f t="shared" ref="E201:L201" si="94">E140</f>
        <v>Q2 - 2024</v>
      </c>
      <c r="F201" s="264" t="str">
        <f t="shared" si="94"/>
        <v>Q3 - 2024</v>
      </c>
      <c r="G201" s="264" t="str">
        <f t="shared" si="94"/>
        <v>Q4 - 2024</v>
      </c>
      <c r="H201" s="264" t="str">
        <f t="shared" si="94"/>
        <v>Q1 - 2025</v>
      </c>
      <c r="I201" s="264" t="str">
        <f t="shared" si="94"/>
        <v>Q2 - 2025</v>
      </c>
      <c r="J201" s="264" t="str">
        <f t="shared" si="94"/>
        <v>Q3 - 2025</v>
      </c>
      <c r="K201" s="264" t="str">
        <f t="shared" si="94"/>
        <v>Q4 - 2025</v>
      </c>
      <c r="L201" s="265" t="str">
        <f t="shared" si="94"/>
        <v>Q1 - 2026</v>
      </c>
      <c r="M201" s="10"/>
      <c r="O201" s="18"/>
    </row>
    <row r="202" spans="1:16" x14ac:dyDescent="0.3">
      <c r="B202" s="772" t="str">
        <f>B141</f>
        <v>SAG Balls - 5.0" (125mm) within a 5% tolerance</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D$31</f>
        <v>tonnes</v>
      </c>
      <c r="C204" s="736"/>
      <c r="D204" s="736"/>
      <c r="E204" s="141"/>
      <c r="F204" s="141"/>
      <c r="G204" s="141"/>
      <c r="H204" s="141"/>
      <c r="I204" s="141"/>
      <c r="J204" s="141"/>
      <c r="K204" s="141"/>
      <c r="L204" s="142"/>
      <c r="M204" s="10"/>
    </row>
    <row r="205" spans="1:16" x14ac:dyDescent="0.3">
      <c r="B205" s="735" t="str">
        <f>D$32</f>
        <v>net delivered selling value (CAD)</v>
      </c>
      <c r="C205" s="736"/>
      <c r="D205" s="736"/>
      <c r="E205" s="141"/>
      <c r="F205" s="141"/>
      <c r="G205" s="141"/>
      <c r="H205" s="141"/>
      <c r="I205" s="141"/>
      <c r="J205" s="141"/>
      <c r="K205" s="141"/>
      <c r="L205" s="142"/>
      <c r="M205" s="10"/>
    </row>
    <row r="206" spans="1:16" x14ac:dyDescent="0.3">
      <c r="B206" s="735" t="str">
        <f>D$33</f>
        <v>$ / tonne</v>
      </c>
      <c r="C206" s="736"/>
      <c r="D206" s="736"/>
      <c r="E206" s="289" t="str">
        <f t="shared" ref="E206" si="95">IF(E204=0,"-",E205/E204)</f>
        <v>-</v>
      </c>
      <c r="F206" s="289" t="str">
        <f t="shared" ref="F206" si="96">IF(F204=0,"-",F205/F204)</f>
        <v>-</v>
      </c>
      <c r="G206" s="289" t="str">
        <f t="shared" ref="G206" si="97">IF(G204=0,"-",G205/G204)</f>
        <v>-</v>
      </c>
      <c r="H206" s="289" t="str">
        <f t="shared" ref="H206" si="98">IF(H204=0,"-",H205/H204)</f>
        <v>-</v>
      </c>
      <c r="I206" s="289" t="str">
        <f t="shared" ref="I206" si="99">IF(I204=0,"-",I205/I204)</f>
        <v>-</v>
      </c>
      <c r="J206" s="289" t="str">
        <f t="shared" ref="J206" si="100">IF(J204=0,"-",J205/J204)</f>
        <v>-</v>
      </c>
      <c r="K206" s="289" t="str">
        <f t="shared" ref="K206" si="101">IF(K204=0,"-",K205/K204)</f>
        <v>-</v>
      </c>
      <c r="L206" s="289" t="str">
        <f t="shared" ref="L206" si="102">IF(L204=0,"-",L205/L204)</f>
        <v>-</v>
      </c>
      <c r="M206" s="10"/>
    </row>
    <row r="207" spans="1:16" x14ac:dyDescent="0.3">
      <c r="B207" s="772" t="str">
        <f>B146</f>
        <v>SAG Balls - 5.25" (133mm) within a 5% tolerance</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D$31</f>
        <v>tonnes</v>
      </c>
      <c r="C209" s="736"/>
      <c r="D209" s="736"/>
      <c r="E209" s="141"/>
      <c r="F209" s="141"/>
      <c r="G209" s="141"/>
      <c r="H209" s="141"/>
      <c r="I209" s="141"/>
      <c r="J209" s="141"/>
      <c r="K209" s="141"/>
      <c r="L209" s="142"/>
      <c r="M209" s="10"/>
    </row>
    <row r="210" spans="2:13" x14ac:dyDescent="0.3">
      <c r="B210" s="735" t="str">
        <f>D$32</f>
        <v>net delivered selling value (CAD)</v>
      </c>
      <c r="C210" s="736"/>
      <c r="D210" s="736"/>
      <c r="E210" s="141"/>
      <c r="F210" s="141"/>
      <c r="G210" s="141"/>
      <c r="H210" s="141"/>
      <c r="I210" s="141"/>
      <c r="J210" s="141"/>
      <c r="K210" s="141"/>
      <c r="L210" s="142"/>
      <c r="M210" s="10"/>
    </row>
    <row r="211" spans="2:13" x14ac:dyDescent="0.3">
      <c r="B211" s="735" t="str">
        <f>D$33</f>
        <v>$ / tonne</v>
      </c>
      <c r="C211" s="736"/>
      <c r="D211" s="736"/>
      <c r="E211" s="289" t="str">
        <f t="shared" ref="E211" si="103">IF(E209=0,"-",E210/E209)</f>
        <v>-</v>
      </c>
      <c r="F211" s="289" t="str">
        <f t="shared" ref="F211" si="104">IF(F209=0,"-",F210/F209)</f>
        <v>-</v>
      </c>
      <c r="G211" s="289" t="str">
        <f t="shared" ref="G211" si="105">IF(G209=0,"-",G210/G209)</f>
        <v>-</v>
      </c>
      <c r="H211" s="289" t="str">
        <f t="shared" ref="H211" si="106">IF(H209=0,"-",H210/H209)</f>
        <v>-</v>
      </c>
      <c r="I211" s="289" t="str">
        <f t="shared" ref="I211" si="107">IF(I209=0,"-",I210/I209)</f>
        <v>-</v>
      </c>
      <c r="J211" s="289" t="str">
        <f t="shared" ref="J211" si="108">IF(J209=0,"-",J210/J209)</f>
        <v>-</v>
      </c>
      <c r="K211" s="289" t="str">
        <f t="shared" ref="K211" si="109">IF(K209=0,"-",K210/K209)</f>
        <v>-</v>
      </c>
      <c r="L211" s="289" t="str">
        <f t="shared" ref="L211" si="110">IF(L209=0,"-",L210/L209)</f>
        <v>-</v>
      </c>
      <c r="M211" s="10"/>
    </row>
    <row r="212" spans="2:13" x14ac:dyDescent="0.3">
      <c r="B212" s="772" t="str">
        <f>B151</f>
        <v>Mid-size Balls - 2.5" (65mm) within a 5% tolerance</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D$31</f>
        <v>tonnes</v>
      </c>
      <c r="C214" s="736"/>
      <c r="D214" s="736"/>
      <c r="E214" s="141"/>
      <c r="F214" s="141"/>
      <c r="G214" s="141"/>
      <c r="H214" s="141"/>
      <c r="I214" s="141"/>
      <c r="J214" s="141"/>
      <c r="K214" s="141"/>
      <c r="L214" s="142"/>
      <c r="M214" s="10"/>
    </row>
    <row r="215" spans="2:13" x14ac:dyDescent="0.3">
      <c r="B215" s="735" t="str">
        <f>D$32</f>
        <v>net delivered selling value (CAD)</v>
      </c>
      <c r="C215" s="736"/>
      <c r="D215" s="736"/>
      <c r="E215" s="141"/>
      <c r="F215" s="141"/>
      <c r="G215" s="141"/>
      <c r="H215" s="141"/>
      <c r="I215" s="141"/>
      <c r="J215" s="141"/>
      <c r="K215" s="141"/>
      <c r="L215" s="142"/>
      <c r="M215" s="10"/>
    </row>
    <row r="216" spans="2:13" x14ac:dyDescent="0.3">
      <c r="B216" s="735" t="str">
        <f>D$33</f>
        <v>$ / tonne</v>
      </c>
      <c r="C216" s="736"/>
      <c r="D216" s="736"/>
      <c r="E216" s="289" t="str">
        <f t="shared" ref="E216" si="111">IF(E214=0,"-",E215/E214)</f>
        <v>-</v>
      </c>
      <c r="F216" s="289" t="str">
        <f t="shared" ref="F216" si="112">IF(F214=0,"-",F215/F214)</f>
        <v>-</v>
      </c>
      <c r="G216" s="289" t="str">
        <f t="shared" ref="G216" si="113">IF(G214=0,"-",G215/G214)</f>
        <v>-</v>
      </c>
      <c r="H216" s="289" t="str">
        <f t="shared" ref="H216" si="114">IF(H214=0,"-",H215/H214)</f>
        <v>-</v>
      </c>
      <c r="I216" s="289" t="str">
        <f t="shared" ref="I216" si="115">IF(I214=0,"-",I215/I214)</f>
        <v>-</v>
      </c>
      <c r="J216" s="289" t="str">
        <f t="shared" ref="J216" si="116">IF(J214=0,"-",J215/J214)</f>
        <v>-</v>
      </c>
      <c r="K216" s="289" t="str">
        <f t="shared" ref="K216" si="117">IF(K214=0,"-",K215/K214)</f>
        <v>-</v>
      </c>
      <c r="L216" s="289" t="str">
        <f t="shared" ref="L216" si="118">IF(L214=0,"-",L215/L214)</f>
        <v>-</v>
      </c>
      <c r="M216" s="10"/>
    </row>
    <row r="217" spans="2:13" x14ac:dyDescent="0.3">
      <c r="B217" s="772" t="str">
        <f>B156</f>
        <v>Mid-size Balls - 3.5" (94mm) within a 5% tolerance</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D$31</f>
        <v>tonnes</v>
      </c>
      <c r="C219" s="736"/>
      <c r="D219" s="736"/>
      <c r="E219" s="141"/>
      <c r="F219" s="141"/>
      <c r="G219" s="141"/>
      <c r="H219" s="141"/>
      <c r="I219" s="141"/>
      <c r="J219" s="141"/>
      <c r="K219" s="141"/>
      <c r="L219" s="142"/>
      <c r="M219" s="10"/>
    </row>
    <row r="220" spans="2:13" x14ac:dyDescent="0.3">
      <c r="B220" s="735" t="str">
        <f>D$32</f>
        <v>net delivered selling value (CAD)</v>
      </c>
      <c r="C220" s="736"/>
      <c r="D220" s="736"/>
      <c r="E220" s="141"/>
      <c r="F220" s="141"/>
      <c r="G220" s="141"/>
      <c r="H220" s="141"/>
      <c r="I220" s="141"/>
      <c r="J220" s="141"/>
      <c r="K220" s="141"/>
      <c r="L220" s="142"/>
      <c r="M220" s="10"/>
    </row>
    <row r="221" spans="2:13" x14ac:dyDescent="0.3">
      <c r="B221" s="735" t="str">
        <f>D$33</f>
        <v>$ / tonne</v>
      </c>
      <c r="C221" s="736"/>
      <c r="D221" s="736"/>
      <c r="E221" s="289" t="str">
        <f t="shared" ref="E221" si="119">IF(E219=0,"-",E220/E219)</f>
        <v>-</v>
      </c>
      <c r="F221" s="289" t="str">
        <f t="shared" ref="F221" si="120">IF(F219=0,"-",F220/F219)</f>
        <v>-</v>
      </c>
      <c r="G221" s="289" t="str">
        <f t="shared" ref="G221" si="121">IF(G219=0,"-",G220/G219)</f>
        <v>-</v>
      </c>
      <c r="H221" s="289" t="str">
        <f t="shared" ref="H221" si="122">IF(H219=0,"-",H220/H219)</f>
        <v>-</v>
      </c>
      <c r="I221" s="289" t="str">
        <f t="shared" ref="I221" si="123">IF(I219=0,"-",I220/I219)</f>
        <v>-</v>
      </c>
      <c r="J221" s="289" t="str">
        <f t="shared" ref="J221" si="124">IF(J219=0,"-",J220/J219)</f>
        <v>-</v>
      </c>
      <c r="K221" s="289" t="str">
        <f t="shared" ref="K221" si="125">IF(K219=0,"-",K220/K219)</f>
        <v>-</v>
      </c>
      <c r="L221" s="289" t="str">
        <f t="shared" ref="L221" si="126">IF(L219=0,"-",L220/L219)</f>
        <v>-</v>
      </c>
      <c r="M221" s="10"/>
    </row>
    <row r="222" spans="2:13" x14ac:dyDescent="0.3">
      <c r="B222" s="772" t="str">
        <f>B161</f>
        <v>Regrind Balls - 1.0" (25mm) within a 5% tolerance</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D$31</f>
        <v>tonnes</v>
      </c>
      <c r="C224" s="736"/>
      <c r="D224" s="736"/>
      <c r="E224" s="141"/>
      <c r="F224" s="141"/>
      <c r="G224" s="141"/>
      <c r="H224" s="141"/>
      <c r="I224" s="141"/>
      <c r="J224" s="141"/>
      <c r="K224" s="141"/>
      <c r="L224" s="142"/>
      <c r="M224" s="10"/>
    </row>
    <row r="225" spans="2:13" x14ac:dyDescent="0.3">
      <c r="B225" s="735" t="str">
        <f>D$32</f>
        <v>net delivered selling value (CAD)</v>
      </c>
      <c r="C225" s="736"/>
      <c r="D225" s="736"/>
      <c r="E225" s="141"/>
      <c r="F225" s="141"/>
      <c r="G225" s="141"/>
      <c r="H225" s="141"/>
      <c r="I225" s="141"/>
      <c r="J225" s="141"/>
      <c r="K225" s="141"/>
      <c r="L225" s="142"/>
      <c r="M225" s="10"/>
    </row>
    <row r="226" spans="2:13" x14ac:dyDescent="0.3">
      <c r="B226" s="735" t="str">
        <f>D$33</f>
        <v>$ / tonne</v>
      </c>
      <c r="C226" s="736"/>
      <c r="D226" s="736"/>
      <c r="E226" s="289" t="str">
        <f t="shared" ref="E226" si="127">IF(E224=0,"-",E225/E224)</f>
        <v>-</v>
      </c>
      <c r="F226" s="289" t="str">
        <f t="shared" ref="F226" si="128">IF(F224=0,"-",F225/F224)</f>
        <v>-</v>
      </c>
      <c r="G226" s="289" t="str">
        <f t="shared" ref="G226" si="129">IF(G224=0,"-",G225/G224)</f>
        <v>-</v>
      </c>
      <c r="H226" s="289" t="str">
        <f t="shared" ref="H226" si="130">IF(H224=0,"-",H225/H224)</f>
        <v>-</v>
      </c>
      <c r="I226" s="289" t="str">
        <f t="shared" ref="I226" si="131">IF(I224=0,"-",I225/I224)</f>
        <v>-</v>
      </c>
      <c r="J226" s="289" t="str">
        <f t="shared" ref="J226" si="132">IF(J224=0,"-",J225/J224)</f>
        <v>-</v>
      </c>
      <c r="K226" s="289" t="str">
        <f t="shared" ref="K226" si="133">IF(K224=0,"-",K225/K224)</f>
        <v>-</v>
      </c>
      <c r="L226" s="289" t="str">
        <f t="shared" ref="L226" si="134">IF(L224=0,"-",L225/L224)</f>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D$31</f>
        <v>tonnes</v>
      </c>
      <c r="C229" s="736"/>
      <c r="D229" s="736"/>
      <c r="E229" s="141"/>
      <c r="F229" s="141"/>
      <c r="G229" s="141"/>
      <c r="H229" s="141"/>
      <c r="I229" s="141"/>
      <c r="J229" s="141"/>
      <c r="K229" s="141"/>
      <c r="L229" s="142"/>
      <c r="M229" s="10"/>
    </row>
    <row r="230" spans="2:13" hidden="1" x14ac:dyDescent="0.3">
      <c r="B230" s="735" t="str">
        <f>D$32</f>
        <v>net delivered selling value (CAD)</v>
      </c>
      <c r="C230" s="736"/>
      <c r="D230" s="736"/>
      <c r="E230" s="141"/>
      <c r="F230" s="141"/>
      <c r="G230" s="141"/>
      <c r="H230" s="141"/>
      <c r="I230" s="141"/>
      <c r="J230" s="141"/>
      <c r="K230" s="141"/>
      <c r="L230" s="142"/>
      <c r="M230" s="10"/>
    </row>
    <row r="231" spans="2:13" hidden="1" x14ac:dyDescent="0.3">
      <c r="B231" s="735" t="str">
        <f>D$33</f>
        <v>$ / tonne</v>
      </c>
      <c r="C231" s="736"/>
      <c r="D231" s="736"/>
      <c r="E231" s="289" t="str">
        <f t="shared" ref="E231" si="135">IF(E229=0,"-",E230/E229)</f>
        <v>-</v>
      </c>
      <c r="F231" s="289" t="str">
        <f t="shared" ref="F231" si="136">IF(F229=0,"-",F230/F229)</f>
        <v>-</v>
      </c>
      <c r="G231" s="289" t="str">
        <f t="shared" ref="G231" si="137">IF(G229=0,"-",G230/G229)</f>
        <v>-</v>
      </c>
      <c r="H231" s="289" t="str">
        <f t="shared" ref="H231" si="138">IF(H229=0,"-",H230/H229)</f>
        <v>-</v>
      </c>
      <c r="I231" s="289" t="str">
        <f t="shared" ref="I231" si="139">IF(I229=0,"-",I230/I229)</f>
        <v>-</v>
      </c>
      <c r="J231" s="289" t="str">
        <f t="shared" ref="J231" si="140">IF(J229=0,"-",J230/J229)</f>
        <v>-</v>
      </c>
      <c r="K231" s="289" t="str">
        <f t="shared" ref="K231" si="141">IF(K229=0,"-",K230/K229)</f>
        <v>-</v>
      </c>
      <c r="L231" s="289" t="str">
        <f t="shared" ref="L231" si="142">IF(L229=0,"-",L230/L229)</f>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D$31</f>
        <v>tonnes</v>
      </c>
      <c r="C234" s="736"/>
      <c r="D234" s="736"/>
      <c r="E234" s="141"/>
      <c r="F234" s="141"/>
      <c r="G234" s="141"/>
      <c r="H234" s="141"/>
      <c r="I234" s="141"/>
      <c r="J234" s="141"/>
      <c r="K234" s="141"/>
      <c r="L234" s="142"/>
      <c r="M234" s="10"/>
    </row>
    <row r="235" spans="2:13" hidden="1" x14ac:dyDescent="0.3">
      <c r="B235" s="735" t="str">
        <f>D$32</f>
        <v>net delivered selling value (CAD)</v>
      </c>
      <c r="C235" s="736"/>
      <c r="D235" s="736"/>
      <c r="E235" s="141"/>
      <c r="F235" s="141"/>
      <c r="G235" s="141"/>
      <c r="H235" s="141"/>
      <c r="I235" s="141"/>
      <c r="J235" s="141"/>
      <c r="K235" s="141"/>
      <c r="L235" s="142"/>
      <c r="M235" s="10"/>
    </row>
    <row r="236" spans="2:13" hidden="1" x14ac:dyDescent="0.3">
      <c r="B236" s="735" t="str">
        <f>D$33</f>
        <v>$ / tonne</v>
      </c>
      <c r="C236" s="736"/>
      <c r="D236" s="736"/>
      <c r="E236" s="289" t="str">
        <f t="shared" ref="E236" si="143">IF(E234=0,"-",E235/E234)</f>
        <v>-</v>
      </c>
      <c r="F236" s="289" t="str">
        <f t="shared" ref="F236" si="144">IF(F234=0,"-",F235/F234)</f>
        <v>-</v>
      </c>
      <c r="G236" s="289" t="str">
        <f t="shared" ref="G236" si="145">IF(G234=0,"-",G235/G234)</f>
        <v>-</v>
      </c>
      <c r="H236" s="289" t="str">
        <f t="shared" ref="H236" si="146">IF(H234=0,"-",H235/H234)</f>
        <v>-</v>
      </c>
      <c r="I236" s="289" t="str">
        <f t="shared" ref="I236" si="147">IF(I234=0,"-",I235/I234)</f>
        <v>-</v>
      </c>
      <c r="J236" s="289" t="str">
        <f t="shared" ref="J236" si="148">IF(J234=0,"-",J235/J234)</f>
        <v>-</v>
      </c>
      <c r="K236" s="289" t="str">
        <f t="shared" ref="K236" si="149">IF(K234=0,"-",K235/K234)</f>
        <v>-</v>
      </c>
      <c r="L236" s="289" t="str">
        <f t="shared" ref="L236" si="150">IF(L234=0,"-",L235/L234)</f>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D$31</f>
        <v>tonnes</v>
      </c>
      <c r="C239" s="736"/>
      <c r="D239" s="736"/>
      <c r="E239" s="141"/>
      <c r="F239" s="141"/>
      <c r="G239" s="141"/>
      <c r="H239" s="141"/>
      <c r="I239" s="141"/>
      <c r="J239" s="141"/>
      <c r="K239" s="141"/>
      <c r="L239" s="142"/>
      <c r="M239" s="10"/>
    </row>
    <row r="240" spans="2:13" hidden="1" x14ac:dyDescent="0.3">
      <c r="B240" s="735" t="str">
        <f>D$32</f>
        <v>net delivered selling value (CAD)</v>
      </c>
      <c r="C240" s="736"/>
      <c r="D240" s="736"/>
      <c r="E240" s="141"/>
      <c r="F240" s="141"/>
      <c r="G240" s="141"/>
      <c r="H240" s="141"/>
      <c r="I240" s="141"/>
      <c r="J240" s="141"/>
      <c r="K240" s="141"/>
      <c r="L240" s="142"/>
      <c r="M240" s="10"/>
    </row>
    <row r="241" spans="1:19" hidden="1" x14ac:dyDescent="0.3">
      <c r="B241" s="735" t="str">
        <f>D$33</f>
        <v>$ / tonne</v>
      </c>
      <c r="C241" s="736"/>
      <c r="D241" s="736"/>
      <c r="E241" s="289" t="str">
        <f t="shared" ref="E241" si="151">IF(E239=0,"-",E240/E239)</f>
        <v>-</v>
      </c>
      <c r="F241" s="289" t="str">
        <f t="shared" ref="F241" si="152">IF(F239=0,"-",F240/F239)</f>
        <v>-</v>
      </c>
      <c r="G241" s="289" t="str">
        <f t="shared" ref="G241" si="153">IF(G239=0,"-",G240/G239)</f>
        <v>-</v>
      </c>
      <c r="H241" s="289" t="str">
        <f t="shared" ref="H241" si="154">IF(H239=0,"-",H240/H239)</f>
        <v>-</v>
      </c>
      <c r="I241" s="289" t="str">
        <f t="shared" ref="I241" si="155">IF(I239=0,"-",I240/I239)</f>
        <v>-</v>
      </c>
      <c r="J241" s="289" t="str">
        <f t="shared" ref="J241" si="156">IF(J239=0,"-",J240/J239)</f>
        <v>-</v>
      </c>
      <c r="K241" s="289" t="str">
        <f t="shared" ref="K241" si="157">IF(K239=0,"-",K240/K239)</f>
        <v>-</v>
      </c>
      <c r="L241" s="289" t="str">
        <f t="shared" ref="L241" si="158">IF(L239=0,"-",L240/L239)</f>
        <v>-</v>
      </c>
      <c r="M241" s="10"/>
    </row>
    <row r="242" spans="1:19" x14ac:dyDescent="0.3">
      <c r="B242" s="258"/>
      <c r="C242" s="259"/>
      <c r="D242" s="259"/>
      <c r="E242" s="29"/>
      <c r="F242" s="29"/>
      <c r="G242" s="29"/>
      <c r="H242" s="29"/>
      <c r="I242" s="29"/>
      <c r="J242" s="29"/>
      <c r="K242" s="29"/>
      <c r="L242" s="30"/>
      <c r="M242" s="10"/>
    </row>
    <row r="243" spans="1:19" x14ac:dyDescent="0.3">
      <c r="B243" s="500" t="str">
        <f>IF(Intro!$G$20="English",O243,P243)</f>
        <v>In the table below, “Error” means that the total sales of your firm's benchmark products exceed your firm's total import sales for that period. Therefore, please modify the above data if necessary.</v>
      </c>
      <c r="C243" s="501"/>
      <c r="D243" s="501"/>
      <c r="E243" s="501"/>
      <c r="F243" s="501"/>
      <c r="G243" s="501"/>
      <c r="H243" s="501"/>
      <c r="I243" s="501"/>
      <c r="J243" s="501"/>
      <c r="K243" s="501"/>
      <c r="L243" s="502"/>
      <c r="M243" s="10"/>
      <c r="O243" s="10" t="s">
        <v>368</v>
      </c>
      <c r="P243" s="10" t="s">
        <v>437</v>
      </c>
      <c r="S243" s="38"/>
    </row>
    <row r="244" spans="1:19" x14ac:dyDescent="0.3">
      <c r="B244" s="500"/>
      <c r="C244" s="501"/>
      <c r="D244" s="501"/>
      <c r="E244" s="501"/>
      <c r="F244" s="501"/>
      <c r="G244" s="501"/>
      <c r="H244" s="501"/>
      <c r="I244" s="501"/>
      <c r="J244" s="501"/>
      <c r="K244" s="501"/>
      <c r="L244" s="502"/>
      <c r="M244" s="10"/>
      <c r="S244" s="38"/>
    </row>
    <row r="245" spans="1:19" x14ac:dyDescent="0.3">
      <c r="B245" s="258"/>
      <c r="C245" s="259"/>
      <c r="D245" s="259"/>
      <c r="E245" s="29"/>
      <c r="F245" s="29"/>
      <c r="G245" s="29"/>
      <c r="H245" s="29"/>
      <c r="I245" s="29"/>
      <c r="J245" s="29"/>
      <c r="K245" s="29"/>
      <c r="L245" s="30"/>
      <c r="M245" s="10"/>
      <c r="S245" s="38"/>
    </row>
    <row r="246" spans="1:19" ht="14.1" customHeight="1" x14ac:dyDescent="0.3">
      <c r="B246" s="763" t="str">
        <f>Variables!D62</f>
        <v>Verification - volume</v>
      </c>
      <c r="C246" s="764"/>
      <c r="D246" s="764"/>
      <c r="E246" s="764"/>
      <c r="F246" s="765"/>
      <c r="G246" s="264">
        <f>G185</f>
        <v>2024</v>
      </c>
      <c r="H246" s="264">
        <f>H185</f>
        <v>2025</v>
      </c>
      <c r="I246" s="264" t="str">
        <f>I185</f>
        <v>Q1 - 2026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Okay</v>
      </c>
      <c r="H247" s="232" t="str">
        <f>IF(SUM(H204:K204,H209:K209,H214:K214,H219:K219,H224:K224,H229:K229,H234:K234,H239:K239)&gt;SUM(I37,I53,I69),Variables!$D$63,Variables!$D$64)</f>
        <v>Okay</v>
      </c>
      <c r="I247" s="232" t="str">
        <f>IF(SUM(L204,L209,L214,L219,L224,L229,L234,L239)&gt;SUM(K37,K53,K69),Variables!$D$63,Variables!$D$64)</f>
        <v>Okay</v>
      </c>
      <c r="J247" s="291"/>
      <c r="K247" s="291"/>
      <c r="L247" s="292"/>
      <c r="M247" s="10"/>
    </row>
    <row r="248" spans="1:19" ht="14.1" customHeight="1" x14ac:dyDescent="0.3">
      <c r="B248" s="783" t="str">
        <f>IF(Intro!$G$20="English",O248,P248)</f>
        <v>volume - total sales in Canada of imports of benchmark products (Question 4)</v>
      </c>
      <c r="C248" s="784"/>
      <c r="D248" s="784"/>
      <c r="E248" s="784"/>
      <c r="F248" s="785"/>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3" t="str">
        <f>IF(Intro!$G$20="English",O249,P249)</f>
        <v>volume - total sales in Canada of imports (Question 1)</v>
      </c>
      <c r="C249" s="784"/>
      <c r="D249" s="784"/>
      <c r="E249" s="784"/>
      <c r="F249" s="785"/>
      <c r="G249" s="232">
        <f>H37</f>
        <v>0</v>
      </c>
      <c r="H249" s="232">
        <f>I37</f>
        <v>0</v>
      </c>
      <c r="I249" s="232">
        <f>K37</f>
        <v>0</v>
      </c>
      <c r="J249" s="291"/>
      <c r="K249" s="291"/>
      <c r="L249" s="292"/>
      <c r="M249" s="10"/>
      <c r="O249" s="10" t="s">
        <v>499</v>
      </c>
      <c r="P249" s="10" t="s">
        <v>501</v>
      </c>
    </row>
    <row r="250" spans="1:19" x14ac:dyDescent="0.3">
      <c r="B250" s="763" t="str">
        <f>Variables!D66</f>
        <v>Verification - value</v>
      </c>
      <c r="C250" s="764"/>
      <c r="D250" s="764"/>
      <c r="E250" s="764"/>
      <c r="F250" s="765"/>
      <c r="G250" s="264">
        <f>G246</f>
        <v>2024</v>
      </c>
      <c r="H250" s="264">
        <f t="shared" ref="H250:I250" si="159">H246</f>
        <v>2025</v>
      </c>
      <c r="I250" s="264" t="str">
        <f t="shared" si="159"/>
        <v>Q1 - 2026</v>
      </c>
      <c r="J250" s="291"/>
      <c r="K250" s="291"/>
      <c r="L250" s="292"/>
      <c r="M250" s="10"/>
    </row>
    <row r="251" spans="1:19" ht="14.1" customHeight="1" x14ac:dyDescent="0.3">
      <c r="B251" s="760" t="str">
        <f>B205</f>
        <v>net delivered selling value (CAD)</v>
      </c>
      <c r="C251" s="761"/>
      <c r="D251" s="761"/>
      <c r="E251" s="761"/>
      <c r="F251" s="762"/>
      <c r="G251" s="232" t="str">
        <f>IF(SUM(E205:G205,E210:G210,E215:G215,E220:G220,E225:G225,E230:G230,E235:G235,E240:G240)&gt;SUM(H38,H54,H70),Variables!$D$63,Variables!$D$64)</f>
        <v>Okay</v>
      </c>
      <c r="H251" s="232" t="str">
        <f>IF(SUM(H205:K205,H210:K210,H215:K215,H220:K220,H225:K225,H230:K230,H235:K235,H240:K240)&gt;SUM(I38,I54,I70),Variables!$D$63,Variables!$D$64)</f>
        <v>Okay</v>
      </c>
      <c r="I251" s="232" t="str">
        <f>IF(SUM(L205,L210,L215,L220,L225,L230,L235,L240)&gt;SUM(K38,K54,K70),Variables!$D$63,Variables!$D$64)</f>
        <v>Okay</v>
      </c>
      <c r="J251" s="291"/>
      <c r="K251" s="291"/>
      <c r="L251" s="292"/>
      <c r="M251" s="10"/>
    </row>
    <row r="252" spans="1:19" ht="14.1" customHeight="1" x14ac:dyDescent="0.3">
      <c r="B252" s="783" t="str">
        <f>IF(Intro!$G$20="English",O252,P252)</f>
        <v>value - total sales in Canada of imports of benchmark products (Question 4)</v>
      </c>
      <c r="C252" s="784"/>
      <c r="D252" s="784"/>
      <c r="E252" s="784"/>
      <c r="F252" s="785"/>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3" t="str">
        <f>IF(Intro!$G$20="English",O253,P253)</f>
        <v>value - total sales in Canada of imports (Question 1)</v>
      </c>
      <c r="C253" s="784"/>
      <c r="D253" s="784"/>
      <c r="E253" s="784"/>
      <c r="F253" s="785"/>
      <c r="G253" s="232">
        <f>H38</f>
        <v>0</v>
      </c>
      <c r="H253" s="232">
        <f>I38</f>
        <v>0</v>
      </c>
      <c r="I253" s="232">
        <f>K38</f>
        <v>0</v>
      </c>
      <c r="J253" s="291"/>
      <c r="K253" s="291"/>
      <c r="L253" s="292"/>
      <c r="M253" s="10"/>
      <c r="O253" s="10" t="s">
        <v>505</v>
      </c>
      <c r="P253" s="10" t="s">
        <v>503</v>
      </c>
    </row>
    <row r="254" spans="1:19" x14ac:dyDescent="0.3">
      <c r="B254" s="72"/>
      <c r="C254" s="84"/>
      <c r="D254" s="84"/>
      <c r="E254" s="84"/>
      <c r="F254" s="84"/>
      <c r="G254" s="84"/>
      <c r="H254" s="84"/>
      <c r="I254" s="84"/>
      <c r="J254" s="84"/>
      <c r="K254" s="84"/>
      <c r="L254" s="85"/>
      <c r="M254" s="10"/>
    </row>
    <row r="255" spans="1:19" s="44" customFormat="1" x14ac:dyDescent="0.3">
      <c r="A255" s="93"/>
      <c r="B255" s="4"/>
      <c r="C255" s="4"/>
      <c r="D255" s="77"/>
      <c r="E255" s="77"/>
      <c r="F255" s="77"/>
      <c r="G255" s="77"/>
      <c r="H255" s="77"/>
      <c r="I255" s="77"/>
      <c r="J255" s="77"/>
      <c r="K255" s="77"/>
      <c r="L255" s="77"/>
      <c r="N255" s="78"/>
    </row>
    <row r="256" spans="1:19" x14ac:dyDescent="0.3">
      <c r="B256" s="506" t="str">
        <f>IF(Intro!$G$20="English",O256,P256)</f>
        <v>IMPORT DATA FOR CBSA PERIOD OF DUMPING INVESTIGATION</v>
      </c>
      <c r="C256" s="507"/>
      <c r="D256" s="507"/>
      <c r="E256" s="507"/>
      <c r="F256" s="507"/>
      <c r="G256" s="507"/>
      <c r="H256" s="507"/>
      <c r="I256" s="507"/>
      <c r="J256" s="507"/>
      <c r="K256" s="507"/>
      <c r="L256" s="508"/>
      <c r="M256" s="10"/>
      <c r="O256" s="107" t="s">
        <v>336</v>
      </c>
      <c r="P256" s="107" t="s">
        <v>337</v>
      </c>
    </row>
    <row r="257" spans="1:16" s="262"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 xml:space="preserve">Report the volume and value of imports during CBSA's period of dumping investigation : </v>
      </c>
      <c r="C259" s="504"/>
      <c r="D259" s="504"/>
      <c r="E259" s="504"/>
      <c r="F259" s="504"/>
      <c r="G259" s="504"/>
      <c r="H259" s="504"/>
      <c r="I259" s="504"/>
      <c r="J259" s="504"/>
      <c r="K259" s="504"/>
      <c r="L259" s="505"/>
      <c r="M259" s="10"/>
      <c r="O259" s="18" t="s">
        <v>198</v>
      </c>
      <c r="P259" s="10" t="s">
        <v>199</v>
      </c>
    </row>
    <row r="260" spans="1:16" x14ac:dyDescent="0.3">
      <c r="B260" s="258"/>
      <c r="C260" s="259"/>
      <c r="D260" s="35"/>
      <c r="E260" s="36"/>
      <c r="F260" s="36"/>
      <c r="G260" s="36"/>
      <c r="H260" s="36"/>
      <c r="I260" s="36"/>
      <c r="J260" s="36"/>
      <c r="K260" s="36"/>
      <c r="L260" s="17"/>
      <c r="M260" s="10"/>
      <c r="O260" s="18"/>
    </row>
    <row r="261" spans="1:16" ht="14.4" customHeight="1" x14ac:dyDescent="0.3">
      <c r="B261" s="48"/>
      <c r="C261" s="45"/>
      <c r="D261" s="35"/>
      <c r="E261" s="10"/>
      <c r="F261" s="796" t="str">
        <f>IF(Intro!$G$20="English",Variables!B39,Variables!C39)</f>
        <v>October 1, 2024 - September 30, 2025</v>
      </c>
      <c r="G261" s="796"/>
      <c r="H261" s="796"/>
      <c r="I261" s="291"/>
      <c r="J261" s="291"/>
      <c r="K261" s="291"/>
      <c r="L261" s="292"/>
      <c r="M261" s="10"/>
      <c r="O261" s="47"/>
      <c r="P261" s="47"/>
    </row>
    <row r="262" spans="1:16" x14ac:dyDescent="0.3">
      <c r="B262" s="540" t="str">
        <f>IF(Intro!$G$20="English",O262,P262)</f>
        <v>Imports</v>
      </c>
      <c r="C262" s="736" t="str">
        <f>D27</f>
        <v>tonnes</v>
      </c>
      <c r="D262" s="736"/>
      <c r="E262" s="782"/>
      <c r="F262" s="795"/>
      <c r="G262" s="795"/>
      <c r="H262" s="795"/>
      <c r="I262" s="291"/>
      <c r="J262" s="291"/>
      <c r="K262" s="291"/>
      <c r="L262" s="292"/>
      <c r="M262" s="10"/>
      <c r="O262" s="10" t="s">
        <v>91</v>
      </c>
      <c r="P262" s="10" t="s">
        <v>169</v>
      </c>
    </row>
    <row r="263" spans="1:16" x14ac:dyDescent="0.3">
      <c r="B263" s="540"/>
      <c r="C263" s="736" t="str">
        <f>D28</f>
        <v>net delivered purchase value (CAD)</v>
      </c>
      <c r="D263" s="736"/>
      <c r="E263" s="782"/>
      <c r="F263" s="795"/>
      <c r="G263" s="795"/>
      <c r="H263" s="795"/>
      <c r="I263" s="291"/>
      <c r="J263" s="291"/>
      <c r="K263" s="291"/>
      <c r="L263" s="292"/>
      <c r="M263" s="10"/>
    </row>
    <row r="264" spans="1:16" x14ac:dyDescent="0.3">
      <c r="B264" s="540"/>
      <c r="C264" s="736" t="str">
        <f>D29</f>
        <v>$ / tonne</v>
      </c>
      <c r="D264" s="736"/>
      <c r="E264" s="782"/>
      <c r="F264" s="794" t="str">
        <f>IF(F262=0,"-",F263/F262)</f>
        <v>-</v>
      </c>
      <c r="G264" s="794"/>
      <c r="H264" s="794"/>
      <c r="I264" s="291"/>
      <c r="J264" s="291"/>
      <c r="K264" s="291"/>
      <c r="L264" s="292"/>
      <c r="M264" s="10"/>
    </row>
    <row r="265" spans="1:16" x14ac:dyDescent="0.3">
      <c r="B265" s="46"/>
      <c r="C265" s="117"/>
      <c r="D265" s="117"/>
      <c r="E265" s="34"/>
      <c r="F265" s="34"/>
      <c r="G265" s="34"/>
      <c r="H265" s="34"/>
      <c r="I265" s="34"/>
      <c r="J265" s="34"/>
      <c r="K265" s="34"/>
      <c r="L265" s="37"/>
      <c r="M265" s="10"/>
    </row>
    <row r="266" spans="1:16" s="44" customFormat="1" x14ac:dyDescent="0.3">
      <c r="A266" s="93"/>
      <c r="B266" s="4"/>
      <c r="C266" s="4"/>
      <c r="D266" s="77"/>
      <c r="E266" s="77"/>
      <c r="F266" s="77"/>
      <c r="G266" s="77"/>
      <c r="H266" s="77"/>
      <c r="I266" s="77"/>
      <c r="J266" s="77"/>
      <c r="K266" s="77"/>
      <c r="L266" s="77"/>
      <c r="N266" s="78"/>
    </row>
    <row r="267" spans="1:16" x14ac:dyDescent="0.3">
      <c r="B267" s="506" t="str">
        <f>UPPER(IF(Intro!$G$20="English",O267,P267))</f>
        <v>IMPORT DATA FOR MASSIVE IMPORTATION ANALYSIS</v>
      </c>
      <c r="C267" s="507"/>
      <c r="D267" s="507"/>
      <c r="E267" s="507"/>
      <c r="F267" s="507"/>
      <c r="G267" s="507"/>
      <c r="H267" s="507"/>
      <c r="I267" s="507"/>
      <c r="J267" s="507"/>
      <c r="K267" s="507"/>
      <c r="L267" s="508"/>
      <c r="M267" s="10"/>
      <c r="O267" s="107" t="s">
        <v>338</v>
      </c>
      <c r="P267" s="107" t="s">
        <v>438</v>
      </c>
    </row>
    <row r="268" spans="1:16" s="262" customFormat="1" x14ac:dyDescent="0.3">
      <c r="A268" s="7"/>
      <c r="B268" s="647" t="s">
        <v>19</v>
      </c>
      <c r="C268" s="648"/>
      <c r="D268" s="648"/>
      <c r="E268" s="648"/>
      <c r="F268" s="648"/>
      <c r="G268" s="648"/>
      <c r="H268" s="648"/>
      <c r="I268" s="648"/>
      <c r="J268" s="648"/>
      <c r="K268" s="648"/>
      <c r="L268" s="649"/>
      <c r="M268" s="73"/>
      <c r="O268" s="10"/>
    </row>
    <row r="269" spans="1:16" x14ac:dyDescent="0.3">
      <c r="B269" s="16"/>
      <c r="C269" s="35"/>
      <c r="D269" s="35"/>
      <c r="E269" s="36"/>
      <c r="F269" s="36"/>
      <c r="G269" s="36"/>
      <c r="H269" s="36"/>
      <c r="I269" s="36"/>
      <c r="J269" s="36"/>
      <c r="K269" s="36"/>
      <c r="L269" s="17"/>
      <c r="M269" s="10"/>
    </row>
    <row r="270" spans="1:16" x14ac:dyDescent="0.3">
      <c r="B270" s="503" t="str">
        <f>IF(Intro!$G$20="English",O270,P270)</f>
        <v xml:space="preserve">Report the volume of imports and the ending inventory in Canada of the goods originating from the exporter outlined above : </v>
      </c>
      <c r="C270" s="504"/>
      <c r="D270" s="504"/>
      <c r="E270" s="504"/>
      <c r="F270" s="504"/>
      <c r="G270" s="504"/>
      <c r="H270" s="504"/>
      <c r="I270" s="504"/>
      <c r="J270" s="504"/>
      <c r="K270" s="504"/>
      <c r="L270" s="505"/>
      <c r="M270" s="10"/>
      <c r="O270" s="18" t="s">
        <v>193</v>
      </c>
      <c r="P270" s="10" t="s">
        <v>440</v>
      </c>
    </row>
    <row r="271" spans="1:16" x14ac:dyDescent="0.3">
      <c r="B271" s="258"/>
      <c r="C271" s="259"/>
      <c r="D271" s="35"/>
      <c r="E271" s="36"/>
      <c r="F271" s="36"/>
      <c r="G271" s="36"/>
      <c r="H271" s="36"/>
      <c r="I271" s="36"/>
      <c r="J271" s="36"/>
      <c r="K271" s="36"/>
      <c r="L271" s="17"/>
      <c r="M271" s="10"/>
      <c r="O271" s="18"/>
    </row>
    <row r="272" spans="1:16" x14ac:dyDescent="0.3">
      <c r="B272" s="258"/>
      <c r="C272" s="259"/>
      <c r="D272" s="35"/>
      <c r="E272" s="267" t="str">
        <f>H201</f>
        <v>Q1 - 2025</v>
      </c>
      <c r="F272" s="279" t="str">
        <f>I201</f>
        <v>Q2 - 2025</v>
      </c>
      <c r="G272" s="279" t="str">
        <f>J201</f>
        <v>Q3 - 2025</v>
      </c>
      <c r="H272" s="279" t="str">
        <f>K201</f>
        <v>Q4 - 2025</v>
      </c>
      <c r="I272" s="490" t="str">
        <f>L201</f>
        <v>Q1 - 2026</v>
      </c>
      <c r="J272" s="36"/>
      <c r="K272" s="36"/>
      <c r="L272" s="17"/>
      <c r="M272" s="10"/>
      <c r="O272" s="18"/>
    </row>
    <row r="273" spans="1:19" x14ac:dyDescent="0.3">
      <c r="B273" s="750" t="str">
        <f>B262</f>
        <v>Imports</v>
      </c>
      <c r="C273" s="751"/>
      <c r="D273" s="268" t="str">
        <f>C262</f>
        <v>tonnes</v>
      </c>
      <c r="E273" s="227"/>
      <c r="F273" s="227"/>
      <c r="G273" s="227"/>
      <c r="H273" s="227"/>
      <c r="I273" s="227"/>
      <c r="J273" s="36"/>
      <c r="K273" s="36"/>
      <c r="L273" s="17"/>
      <c r="M273" s="10"/>
    </row>
    <row r="274" spans="1:19" x14ac:dyDescent="0.3">
      <c r="B274" s="750" t="str">
        <f>IF(Intro!$G$20="English",O274,P274)</f>
        <v>Ending Inventories</v>
      </c>
      <c r="C274" s="751"/>
      <c r="D274" s="268" t="str">
        <f>C262</f>
        <v>tonnes</v>
      </c>
      <c r="E274" s="227"/>
      <c r="F274" s="227"/>
      <c r="G274" s="227"/>
      <c r="H274" s="227"/>
      <c r="I274" s="227"/>
      <c r="J274" s="36"/>
      <c r="K274" s="36"/>
      <c r="L274" s="17"/>
      <c r="M274" s="10"/>
      <c r="O274" s="10" t="s">
        <v>194</v>
      </c>
      <c r="P274" s="10" t="s">
        <v>439</v>
      </c>
    </row>
    <row r="275" spans="1:19" x14ac:dyDescent="0.3">
      <c r="B275" s="273"/>
      <c r="C275" s="274"/>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Imports</v>
      </c>
      <c r="C277" s="751"/>
      <c r="D277" s="281" t="str">
        <f>D273</f>
        <v>tonnes</v>
      </c>
      <c r="E277" s="227"/>
      <c r="F277" s="36"/>
      <c r="G277" s="227"/>
      <c r="H277" s="36"/>
      <c r="I277" s="227"/>
      <c r="K277" s="36"/>
      <c r="L277" s="17"/>
      <c r="M277" s="10"/>
    </row>
    <row r="278" spans="1:19" x14ac:dyDescent="0.3">
      <c r="B278" s="750" t="str">
        <f>IF(Intro!$G$20="English",O278,P278)</f>
        <v>Ending Inventories</v>
      </c>
      <c r="C278" s="751"/>
      <c r="D278" s="281" t="str">
        <f>D274</f>
        <v>tonnes</v>
      </c>
      <c r="E278" s="227"/>
      <c r="F278" s="36"/>
      <c r="G278" s="227"/>
      <c r="H278" s="36"/>
      <c r="I278" s="227"/>
      <c r="K278" s="36"/>
      <c r="L278" s="17"/>
      <c r="M278" s="10"/>
      <c r="O278" s="10" t="s">
        <v>194</v>
      </c>
      <c r="P278" s="10" t="s">
        <v>439</v>
      </c>
    </row>
    <row r="279" spans="1:19" x14ac:dyDescent="0.3">
      <c r="B279" s="258"/>
      <c r="C279" s="259"/>
      <c r="D279" s="259"/>
      <c r="E279" s="29"/>
      <c r="F279" s="29"/>
      <c r="G279" s="29"/>
      <c r="H279" s="29"/>
      <c r="I279" s="36"/>
      <c r="J279" s="29"/>
      <c r="K279" s="29"/>
      <c r="L279" s="30"/>
      <c r="M279" s="10"/>
    </row>
    <row r="280" spans="1:19" x14ac:dyDescent="0.3">
      <c r="B280" s="500" t="str">
        <f>IF(Intro!$G$20="English",O280,P280)</f>
        <v>In the table below, “Error” means that the sum of the quarterly imports reported above exceeds the annual imports reported in Question 1. Therefore, please modify the data if necessary.</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55"/>
      <c r="C282" s="256"/>
      <c r="D282" s="256"/>
      <c r="E282" s="256"/>
      <c r="F282" s="256"/>
      <c r="G282" s="256"/>
      <c r="H282" s="256"/>
      <c r="I282" s="256"/>
      <c r="J282" s="256"/>
      <c r="K282" s="256"/>
      <c r="L282" s="257"/>
      <c r="M282" s="10"/>
      <c r="S282" s="38"/>
    </row>
    <row r="283" spans="1:19" x14ac:dyDescent="0.3">
      <c r="B283" s="237"/>
      <c r="C283" s="224"/>
      <c r="D283" s="238"/>
      <c r="E283" s="45"/>
      <c r="F283" s="264">
        <f>G283-1</f>
        <v>2025</v>
      </c>
      <c r="G283" s="264">
        <f>Variables!B8</f>
        <v>2026</v>
      </c>
      <c r="H283" s="295"/>
      <c r="I283" s="291"/>
      <c r="J283" s="291"/>
      <c r="K283" s="291"/>
      <c r="L283" s="296"/>
      <c r="M283" s="10"/>
      <c r="O283" s="18"/>
    </row>
    <row r="284" spans="1:19" ht="14.85" customHeight="1" x14ac:dyDescent="0.3">
      <c r="B284" s="237"/>
      <c r="C284" s="243"/>
      <c r="D284" s="786" t="str">
        <f>B246</f>
        <v>Verification - volume</v>
      </c>
      <c r="E284" s="787"/>
      <c r="F284" s="232" t="str">
        <f>IF(SUM(E273:H273)&gt;SUM(I43,I59,I27),Variables!$D$63,Variables!$D$64)</f>
        <v>Okay</v>
      </c>
      <c r="G284" s="232" t="str">
        <f>IF(SUM(I273)&gt;SUM(K27,K43,K59),Variables!$D$63,Variables!$D$64)</f>
        <v>Okay</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262" customFormat="1" x14ac:dyDescent="0.3">
      <c r="A286" s="7"/>
      <c r="B286" s="21" t="s">
        <v>20</v>
      </c>
      <c r="C286" s="22"/>
      <c r="D286" s="22"/>
      <c r="E286" s="23"/>
      <c r="F286" s="23"/>
      <c r="G286" s="23"/>
      <c r="H286" s="23"/>
      <c r="I286" s="23"/>
      <c r="J286" s="23"/>
      <c r="K286" s="23"/>
      <c r="L286" s="24"/>
      <c r="M286" s="73"/>
    </row>
    <row r="287" spans="1:19" s="38" customFormat="1" x14ac:dyDescent="0.3">
      <c r="A287" s="49"/>
      <c r="B287" s="53"/>
      <c r="C287" s="94"/>
      <c r="D287" s="94"/>
      <c r="E287" s="94"/>
      <c r="F287" s="94"/>
      <c r="G287" s="94"/>
      <c r="H287" s="94"/>
      <c r="I287" s="94"/>
      <c r="J287" s="94"/>
      <c r="K287" s="94"/>
      <c r="L287" s="54"/>
      <c r="O287" s="10"/>
      <c r="P287" s="10"/>
      <c r="Q287" s="10"/>
      <c r="R287" s="10"/>
    </row>
    <row r="288" spans="1:19" s="38" customFormat="1" x14ac:dyDescent="0.3">
      <c r="A288" s="49"/>
      <c r="B288" s="500" t="str">
        <f>IF(Intro!$G$20="English",O288,P288)</f>
        <v>Describe any factors (for example, shipping delays, seasonality, etc.) which would explain the overall trend in your firm's quarterly import volumes and ending inventories, as reported in Question 6.</v>
      </c>
      <c r="C288" s="501"/>
      <c r="D288" s="501"/>
      <c r="E288" s="501"/>
      <c r="F288" s="501"/>
      <c r="G288" s="501"/>
      <c r="H288" s="501"/>
      <c r="I288" s="501"/>
      <c r="J288" s="501"/>
      <c r="K288" s="501"/>
      <c r="L288" s="502"/>
      <c r="O288" s="10" t="s">
        <v>380</v>
      </c>
      <c r="P288" s="10" t="s">
        <v>381</v>
      </c>
      <c r="Q288" s="10"/>
      <c r="R288" s="10"/>
    </row>
    <row r="289" spans="1:18" s="38" customFormat="1" x14ac:dyDescent="0.3">
      <c r="A289" s="49"/>
      <c r="B289" s="500"/>
      <c r="C289" s="501"/>
      <c r="D289" s="501"/>
      <c r="E289" s="501"/>
      <c r="F289" s="501"/>
      <c r="G289" s="501"/>
      <c r="H289" s="501"/>
      <c r="I289" s="501"/>
      <c r="J289" s="501"/>
      <c r="K289" s="501"/>
      <c r="L289" s="502"/>
      <c r="O289" s="10"/>
      <c r="P289" s="10"/>
      <c r="Q289" s="10"/>
      <c r="R289" s="10"/>
    </row>
    <row r="290" spans="1:18" s="38" customFormat="1" x14ac:dyDescent="0.3">
      <c r="A290" s="49"/>
      <c r="B290" s="53"/>
      <c r="C290" s="94"/>
      <c r="D290" s="94"/>
      <c r="E290" s="94"/>
      <c r="F290" s="94"/>
      <c r="G290" s="94"/>
      <c r="H290" s="94"/>
      <c r="I290" s="94"/>
      <c r="J290" s="94"/>
      <c r="K290" s="94"/>
      <c r="L290" s="54"/>
      <c r="O290" s="10"/>
      <c r="P290" s="10"/>
      <c r="Q290" s="10"/>
      <c r="R290" s="10"/>
    </row>
    <row r="291" spans="1:18" s="262" customFormat="1" x14ac:dyDescent="0.3">
      <c r="A291" s="8"/>
      <c r="B291" s="639"/>
      <c r="C291" s="640"/>
      <c r="D291" s="640"/>
      <c r="E291" s="640"/>
      <c r="F291" s="640"/>
      <c r="G291" s="640"/>
      <c r="H291" s="640"/>
      <c r="I291" s="640"/>
      <c r="J291" s="640"/>
      <c r="K291" s="640"/>
      <c r="L291" s="641"/>
      <c r="M291" s="38"/>
    </row>
    <row r="292" spans="1:18" s="262" customFormat="1" x14ac:dyDescent="0.3">
      <c r="A292" s="8"/>
      <c r="B292" s="639"/>
      <c r="C292" s="640"/>
      <c r="D292" s="640"/>
      <c r="E292" s="640"/>
      <c r="F292" s="640"/>
      <c r="G292" s="640"/>
      <c r="H292" s="640"/>
      <c r="I292" s="640"/>
      <c r="J292" s="640"/>
      <c r="K292" s="640"/>
      <c r="L292" s="641"/>
      <c r="M292" s="38"/>
    </row>
    <row r="293" spans="1:18" s="262" customFormat="1" x14ac:dyDescent="0.3">
      <c r="A293" s="8"/>
      <c r="B293" s="639"/>
      <c r="C293" s="640"/>
      <c r="D293" s="640"/>
      <c r="E293" s="640"/>
      <c r="F293" s="640"/>
      <c r="G293" s="640"/>
      <c r="H293" s="640"/>
      <c r="I293" s="640"/>
      <c r="J293" s="640"/>
      <c r="K293" s="640"/>
      <c r="L293" s="641"/>
      <c r="M293" s="38"/>
    </row>
    <row r="294" spans="1:18" s="262" customFormat="1" x14ac:dyDescent="0.3">
      <c r="A294" s="8"/>
      <c r="B294" s="639"/>
      <c r="C294" s="640"/>
      <c r="D294" s="640"/>
      <c r="E294" s="640"/>
      <c r="F294" s="640"/>
      <c r="G294" s="640"/>
      <c r="H294" s="640"/>
      <c r="I294" s="640"/>
      <c r="J294" s="640"/>
      <c r="K294" s="640"/>
      <c r="L294" s="641"/>
      <c r="M294" s="38"/>
    </row>
    <row r="295" spans="1:18" s="262" customFormat="1" x14ac:dyDescent="0.3">
      <c r="A295" s="8"/>
      <c r="B295" s="639"/>
      <c r="C295" s="640"/>
      <c r="D295" s="640"/>
      <c r="E295" s="640"/>
      <c r="F295" s="640"/>
      <c r="G295" s="640"/>
      <c r="H295" s="640"/>
      <c r="I295" s="640"/>
      <c r="J295" s="640"/>
      <c r="K295" s="640"/>
      <c r="L295" s="641"/>
      <c r="M295" s="38"/>
    </row>
    <row r="296" spans="1:18" s="262" customFormat="1" x14ac:dyDescent="0.3">
      <c r="A296" s="8"/>
      <c r="B296" s="639"/>
      <c r="C296" s="640"/>
      <c r="D296" s="640"/>
      <c r="E296" s="640"/>
      <c r="F296" s="640"/>
      <c r="G296" s="640"/>
      <c r="H296" s="640"/>
      <c r="I296" s="640"/>
      <c r="J296" s="640"/>
      <c r="K296" s="640"/>
      <c r="L296" s="641"/>
      <c r="M296" s="38"/>
    </row>
    <row r="297" spans="1:18" s="262" customFormat="1" x14ac:dyDescent="0.3">
      <c r="A297" s="8"/>
      <c r="B297" s="639"/>
      <c r="C297" s="640"/>
      <c r="D297" s="640"/>
      <c r="E297" s="640"/>
      <c r="F297" s="640"/>
      <c r="G297" s="640"/>
      <c r="H297" s="640"/>
      <c r="I297" s="640"/>
      <c r="J297" s="640"/>
      <c r="K297" s="640"/>
      <c r="L297" s="641"/>
      <c r="M297" s="38"/>
    </row>
    <row r="298" spans="1:18" s="262" customFormat="1" x14ac:dyDescent="0.3">
      <c r="A298" s="8"/>
      <c r="B298" s="639"/>
      <c r="C298" s="640"/>
      <c r="D298" s="640"/>
      <c r="E298" s="640"/>
      <c r="F298" s="640"/>
      <c r="G298" s="640"/>
      <c r="H298" s="640"/>
      <c r="I298" s="640"/>
      <c r="J298" s="640"/>
      <c r="K298" s="640"/>
      <c r="L298" s="641"/>
      <c r="M298" s="38"/>
    </row>
    <row r="299" spans="1:18" s="38" customFormat="1" x14ac:dyDescent="0.3">
      <c r="A299" s="49"/>
      <c r="B299" s="50"/>
      <c r="C299" s="51"/>
      <c r="D299" s="51"/>
      <c r="E299" s="51"/>
      <c r="F299" s="51"/>
      <c r="G299" s="51"/>
      <c r="H299" s="51"/>
      <c r="I299" s="51"/>
      <c r="J299" s="51"/>
      <c r="K299" s="51"/>
      <c r="L299" s="52"/>
      <c r="O299" s="10"/>
      <c r="P299" s="10"/>
      <c r="Q299" s="10"/>
      <c r="R299" s="10"/>
    </row>
  </sheetData>
  <sheetProtection algorithmName="SHA-512" hashValue="qFUsIMvwjU2njikuzZ1+euRZvZ4ggQZtScvCm4+JWrxiUba40VIow43oTZPuvRAAdnc2F8o9/mRe0lJf4anG4w==" saltValue="S2VWEuuaFUZJSyO6PN04yQ==" spinCount="100000" sheet="1" objects="1" scenarios="1" selectLockedCells="1"/>
  <mergeCells count="244">
    <mergeCell ref="B74:K74"/>
    <mergeCell ref="B75:C77"/>
    <mergeCell ref="D75:F75"/>
    <mergeCell ref="D76:F76"/>
    <mergeCell ref="D77:F77"/>
    <mergeCell ref="B85:C87"/>
    <mergeCell ref="D85:F85"/>
    <mergeCell ref="D86:F86"/>
    <mergeCell ref="D87:F87"/>
    <mergeCell ref="B78:K78"/>
    <mergeCell ref="B79:C81"/>
    <mergeCell ref="D79:F79"/>
    <mergeCell ref="D80:F80"/>
    <mergeCell ref="D81:F81"/>
    <mergeCell ref="B82:C84"/>
    <mergeCell ref="D82:F82"/>
    <mergeCell ref="D83:F83"/>
    <mergeCell ref="D84:F84"/>
    <mergeCell ref="D67:F67"/>
    <mergeCell ref="D68:F68"/>
    <mergeCell ref="B58:K58"/>
    <mergeCell ref="B59:C61"/>
    <mergeCell ref="D59:F59"/>
    <mergeCell ref="D60:F60"/>
    <mergeCell ref="D61:F61"/>
    <mergeCell ref="B62:K62"/>
    <mergeCell ref="B69:C71"/>
    <mergeCell ref="D69:F69"/>
    <mergeCell ref="D70:F70"/>
    <mergeCell ref="D71:F71"/>
    <mergeCell ref="D284:E284"/>
    <mergeCell ref="B288:L289"/>
    <mergeCell ref="B253:F253"/>
    <mergeCell ref="B256:L256"/>
    <mergeCell ref="B257:L257"/>
    <mergeCell ref="B259:L259"/>
    <mergeCell ref="B243:L244"/>
    <mergeCell ref="B246:F246"/>
    <mergeCell ref="B247:F247"/>
    <mergeCell ref="B248:F248"/>
    <mergeCell ref="B249:F249"/>
    <mergeCell ref="B250:F250"/>
    <mergeCell ref="B277:C277"/>
    <mergeCell ref="B278:C278"/>
    <mergeCell ref="F264:H264"/>
    <mergeCell ref="F263:H263"/>
    <mergeCell ref="F262:H262"/>
    <mergeCell ref="F261:H261"/>
    <mergeCell ref="B291:L298"/>
    <mergeCell ref="B42:K42"/>
    <mergeCell ref="B43:C45"/>
    <mergeCell ref="D43:F43"/>
    <mergeCell ref="D44:F44"/>
    <mergeCell ref="D45:F45"/>
    <mergeCell ref="B46:K46"/>
    <mergeCell ref="B47:C49"/>
    <mergeCell ref="B267:L267"/>
    <mergeCell ref="B268:L268"/>
    <mergeCell ref="B270:L270"/>
    <mergeCell ref="B273:C273"/>
    <mergeCell ref="B274:C274"/>
    <mergeCell ref="B280:L281"/>
    <mergeCell ref="B262:B264"/>
    <mergeCell ref="C262:E262"/>
    <mergeCell ref="C263:E263"/>
    <mergeCell ref="C264:E264"/>
    <mergeCell ref="B251:F251"/>
    <mergeCell ref="B252:F252"/>
    <mergeCell ref="B241:D241"/>
    <mergeCell ref="B227:L228"/>
    <mergeCell ref="B229:D229"/>
    <mergeCell ref="B230:D230"/>
    <mergeCell ref="B231:D231"/>
    <mergeCell ref="B232:L233"/>
    <mergeCell ref="B234:D234"/>
    <mergeCell ref="B220:D220"/>
    <mergeCell ref="B221:D221"/>
    <mergeCell ref="B222:L223"/>
    <mergeCell ref="B224:D224"/>
    <mergeCell ref="B225:D225"/>
    <mergeCell ref="B226:D226"/>
    <mergeCell ref="B235:D235"/>
    <mergeCell ref="B236:D236"/>
    <mergeCell ref="B237:L238"/>
    <mergeCell ref="B239:D239"/>
    <mergeCell ref="B240:D240"/>
    <mergeCell ref="B212:L213"/>
    <mergeCell ref="B214:D214"/>
    <mergeCell ref="B215:D215"/>
    <mergeCell ref="B216:D216"/>
    <mergeCell ref="B217:L218"/>
    <mergeCell ref="B219:D219"/>
    <mergeCell ref="B205:D205"/>
    <mergeCell ref="B206:D206"/>
    <mergeCell ref="B207:L208"/>
    <mergeCell ref="B209:D209"/>
    <mergeCell ref="B210:D210"/>
    <mergeCell ref="B211:D211"/>
    <mergeCell ref="B196:L196"/>
    <mergeCell ref="B198:L198"/>
    <mergeCell ref="B199:L199"/>
    <mergeCell ref="B201:D201"/>
    <mergeCell ref="B202:L203"/>
    <mergeCell ref="B204:D204"/>
    <mergeCell ref="B188:F188"/>
    <mergeCell ref="B189:F189"/>
    <mergeCell ref="B190:F190"/>
    <mergeCell ref="B191:F191"/>
    <mergeCell ref="B192:F192"/>
    <mergeCell ref="B195:L195"/>
    <mergeCell ref="B179:D179"/>
    <mergeCell ref="B180:D180"/>
    <mergeCell ref="B182:L183"/>
    <mergeCell ref="B185:F185"/>
    <mergeCell ref="B186:F186"/>
    <mergeCell ref="B187:F187"/>
    <mergeCell ref="B171:L172"/>
    <mergeCell ref="B173:D173"/>
    <mergeCell ref="B174:D174"/>
    <mergeCell ref="B175:D175"/>
    <mergeCell ref="B176:L177"/>
    <mergeCell ref="B178:D178"/>
    <mergeCell ref="B170:D170"/>
    <mergeCell ref="B169:D169"/>
    <mergeCell ref="B168:D168"/>
    <mergeCell ref="B166:L167"/>
    <mergeCell ref="B164:D164"/>
    <mergeCell ref="B165:D165"/>
    <mergeCell ref="B156:L157"/>
    <mergeCell ref="B158:D158"/>
    <mergeCell ref="B159:D159"/>
    <mergeCell ref="B160:D160"/>
    <mergeCell ref="B161:L162"/>
    <mergeCell ref="B163:D163"/>
    <mergeCell ref="B149:D149"/>
    <mergeCell ref="B150:D150"/>
    <mergeCell ref="B151:L152"/>
    <mergeCell ref="B153:D153"/>
    <mergeCell ref="B154:D154"/>
    <mergeCell ref="B155:D155"/>
    <mergeCell ref="B141:L142"/>
    <mergeCell ref="B143:D143"/>
    <mergeCell ref="B144:D144"/>
    <mergeCell ref="B145:D145"/>
    <mergeCell ref="B146:L147"/>
    <mergeCell ref="B148:D148"/>
    <mergeCell ref="B131:F131"/>
    <mergeCell ref="B132:F132"/>
    <mergeCell ref="B135:L135"/>
    <mergeCell ref="B136:L136"/>
    <mergeCell ref="B138:L138"/>
    <mergeCell ref="B140:D140"/>
    <mergeCell ref="B125:F125"/>
    <mergeCell ref="B126:F126"/>
    <mergeCell ref="B127:F127"/>
    <mergeCell ref="B128:F128"/>
    <mergeCell ref="B129:F129"/>
    <mergeCell ref="B130:F130"/>
    <mergeCell ref="B112:D112"/>
    <mergeCell ref="B113:L113"/>
    <mergeCell ref="B114:D114"/>
    <mergeCell ref="B115:D115"/>
    <mergeCell ref="B116:D116"/>
    <mergeCell ref="B122:L123"/>
    <mergeCell ref="B106:D106"/>
    <mergeCell ref="B107:D107"/>
    <mergeCell ref="B108:D108"/>
    <mergeCell ref="B109:L109"/>
    <mergeCell ref="B110:D110"/>
    <mergeCell ref="B111:D111"/>
    <mergeCell ref="B117:L117"/>
    <mergeCell ref="B118:D118"/>
    <mergeCell ref="B119:D119"/>
    <mergeCell ref="B120:D120"/>
    <mergeCell ref="B100:D100"/>
    <mergeCell ref="B101:L101"/>
    <mergeCell ref="B102:D102"/>
    <mergeCell ref="B103:D103"/>
    <mergeCell ref="B104:D104"/>
    <mergeCell ref="B105:L105"/>
    <mergeCell ref="B93:L93"/>
    <mergeCell ref="B94:L94"/>
    <mergeCell ref="B96:D96"/>
    <mergeCell ref="B97:L97"/>
    <mergeCell ref="B98:D98"/>
    <mergeCell ref="B99:D99"/>
    <mergeCell ref="B37:C39"/>
    <mergeCell ref="D37:F37"/>
    <mergeCell ref="D38:F38"/>
    <mergeCell ref="D39:F39"/>
    <mergeCell ref="B90:L90"/>
    <mergeCell ref="B91:L91"/>
    <mergeCell ref="D47:F47"/>
    <mergeCell ref="D48:F48"/>
    <mergeCell ref="D49:F49"/>
    <mergeCell ref="B50:C52"/>
    <mergeCell ref="B57:F57"/>
    <mergeCell ref="D50:F50"/>
    <mergeCell ref="D51:F51"/>
    <mergeCell ref="D52:F52"/>
    <mergeCell ref="B53:C55"/>
    <mergeCell ref="D53:F53"/>
    <mergeCell ref="D54:F54"/>
    <mergeCell ref="D55:F55"/>
    <mergeCell ref="B63:C65"/>
    <mergeCell ref="D63:F63"/>
    <mergeCell ref="D64:F64"/>
    <mergeCell ref="D65:F65"/>
    <mergeCell ref="B66:C68"/>
    <mergeCell ref="D66:F66"/>
    <mergeCell ref="B34:C36"/>
    <mergeCell ref="D34:F34"/>
    <mergeCell ref="D35:F35"/>
    <mergeCell ref="D36:F36"/>
    <mergeCell ref="B26:K26"/>
    <mergeCell ref="B27:C29"/>
    <mergeCell ref="D27:F27"/>
    <mergeCell ref="D28:F28"/>
    <mergeCell ref="D29:F29"/>
    <mergeCell ref="B30:K30"/>
    <mergeCell ref="B4:L4"/>
    <mergeCell ref="B5:L5"/>
    <mergeCell ref="B6:L6"/>
    <mergeCell ref="B8:L8"/>
    <mergeCell ref="B9:L9"/>
    <mergeCell ref="B10:L11"/>
    <mergeCell ref="B25:F25"/>
    <mergeCell ref="B41:F41"/>
    <mergeCell ref="B19:L19"/>
    <mergeCell ref="B20:L20"/>
    <mergeCell ref="B22:F22"/>
    <mergeCell ref="G22:K22"/>
    <mergeCell ref="B23:F23"/>
    <mergeCell ref="G23:K23"/>
    <mergeCell ref="B12:L12"/>
    <mergeCell ref="B13:L13"/>
    <mergeCell ref="B14:L14"/>
    <mergeCell ref="B15:L15"/>
    <mergeCell ref="B16:L16"/>
    <mergeCell ref="B17:L17"/>
    <mergeCell ref="B31:C33"/>
    <mergeCell ref="D31:F31"/>
    <mergeCell ref="D32:F32"/>
    <mergeCell ref="D33:F33"/>
  </mergeCells>
  <conditionalFormatting sqref="F284:G284">
    <cfRule type="cellIs" dxfId="12" priority="1" operator="equal">
      <formula>"Error"</formula>
    </cfRule>
  </conditionalFormatting>
  <conditionalFormatting sqref="G126:I128 G130:I132 G186:I188 G190:I192 G251:I253">
    <cfRule type="cellIs" dxfId="11" priority="3" operator="equal">
      <formula>"Error"</formula>
    </cfRule>
  </conditionalFormatting>
  <conditionalFormatting sqref="G247:I249">
    <cfRule type="cellIs" dxfId="10"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E5BA0B86-F0A3-48F8-AEF3-AB9A90059DE9}">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91:B293" xr:uid="{3B0CCF41-BC1F-4ADE-8435-DEABE697B8A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F264 E104:L104 E108:L108 E231:L231 E170:L170 E175:L175 G29:K29 E100:L100 E112:L112 E241:L241 E145:L145 E150:L150 E155:L155 E160:L160 E165:L165 F284:G284 E180:L180 E206:L206 E211:L211 E216:L216 E221:L221 E226:L226 E236:L236 G251:I253 G36:K39 G186:I188 G190:I192 G126:I128 G130:I132 G247:I249 G33:K33 G45:K45 G52:K55 G49:K49 G68:K71 G61:K61 G84:K87 G65:K65 G77:K77 G81:K81 E116:L116 E120:L120" xr:uid="{ECE2675A-78BD-462D-9435-F4C272E4B6FF}">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B166:L167 G75:K76 I277:I278 E239:L240 E234:L235 E229:L230 E224:L225 E219:L220 E214:L215 E209:L210 E204:L205 E178:L179 E173:L174 E168:L169 E163:L164 E158:L159 E153:L154 E148:L149 E143:L144 E114:L115 E110:L111 E118:L119 E102:L103 E98:L99 G34:K35 G31:K32 G27:K28 G50:K51 G47:K48 G43:K44 G66:K67 G63:K64 G59:K60 G82:K83 G79:K80 E106:L107 E273:I274 E277:E278 G277:G278 F262:F263" xr:uid="{DDF55387-30D3-42E0-B754-6A64F33123A0}">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C01D-23D5-42E6-9B1F-CF2B12C37594}">
  <sheetPr>
    <tabColor rgb="FFFFC000"/>
  </sheetPr>
  <dimension ref="A1"/>
  <sheetViews>
    <sheetView workbookViewId="0"/>
  </sheetViews>
  <sheetFormatPr defaultRowHeight="14.4" x14ac:dyDescent="0.3"/>
  <sheetData/>
  <sheetProtection algorithmName="SHA-512" hashValue="bzrbpQIDU6E6n2Q9XGZalUxU7zDeSeQM8DxjjSjbKeAxC3bOlZIWypeS6lZ3IKJ5n1xnSbhEq8es3x57pZANuQ==" saltValue="iBl59v+jZrIErhH/NgiHbw==" spinCount="100000" sheet="1" objects="1" scenarios="1" selectLockedCells="1"/>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299"/>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8" width="9.44140625" style="10" customWidth="1"/>
    <col min="19" max="16384" width="9.44140625" style="10"/>
  </cols>
  <sheetData>
    <row r="1" spans="1:16" x14ac:dyDescent="0.3">
      <c r="O1" s="10" t="s">
        <v>481</v>
      </c>
      <c r="P1" s="10" t="s">
        <v>481</v>
      </c>
    </row>
    <row r="2" spans="1:16" x14ac:dyDescent="0.3">
      <c r="B2" s="12" t="str">
        <f>Pro!B2</f>
        <v>PROTECTED</v>
      </c>
      <c r="C2" s="12"/>
      <c r="D2" s="12"/>
      <c r="O2" s="197" t="s">
        <v>93</v>
      </c>
      <c r="P2" s="197" t="s">
        <v>109</v>
      </c>
    </row>
    <row r="3" spans="1:16" x14ac:dyDescent="0.3">
      <c r="B3" s="13"/>
      <c r="C3" s="13"/>
      <c r="D3" s="13"/>
      <c r="O3" s="2"/>
      <c r="P3" s="2"/>
    </row>
    <row r="4" spans="1:16" s="2" customFormat="1" x14ac:dyDescent="0.3">
      <c r="A4" s="33"/>
      <c r="B4" s="588" t="str">
        <f>Info!B4</f>
        <v>IMPORTERS' QUESTIONNAIRE</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FORGED GRINDING MEDIA</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x14ac:dyDescent="0.3">
      <c r="A9" s="33"/>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x14ac:dyDescent="0.3">
      <c r="A10" s="33"/>
      <c r="B10" s="633" t="str">
        <f>Pro!B10</f>
        <v xml:space="preserve">Use the AddPro tab if more space is needed.
</v>
      </c>
      <c r="C10" s="634"/>
      <c r="D10" s="634"/>
      <c r="E10" s="634"/>
      <c r="F10" s="634"/>
      <c r="G10" s="634"/>
      <c r="H10" s="634"/>
      <c r="I10" s="634"/>
      <c r="J10" s="634"/>
      <c r="K10" s="634"/>
      <c r="L10" s="635"/>
      <c r="M10" s="19"/>
      <c r="N10" s="19"/>
      <c r="O10" s="15"/>
      <c r="P10" s="15"/>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For the questions in this tab, note the following:</v>
      </c>
      <c r="C12" s="634"/>
      <c r="D12" s="634"/>
      <c r="E12" s="634"/>
      <c r="F12" s="634"/>
      <c r="G12" s="634"/>
      <c r="H12" s="634"/>
      <c r="I12" s="634"/>
      <c r="J12" s="634"/>
      <c r="K12" s="634"/>
      <c r="L12" s="635"/>
      <c r="M12" s="19"/>
      <c r="N12" s="19"/>
      <c r="O12" s="15"/>
      <c r="P12" s="15"/>
    </row>
    <row r="13" spans="1:16" s="6" customFormat="1" x14ac:dyDescent="0.3">
      <c r="A13" s="33"/>
      <c r="B13" s="725" t="str">
        <f>Pro!B13</f>
        <v>• Report only sales from your firm’s imports. Sales of goods purchased from Canadian producers must be excluded.</v>
      </c>
      <c r="C13" s="726"/>
      <c r="D13" s="726"/>
      <c r="E13" s="726"/>
      <c r="F13" s="726"/>
      <c r="G13" s="726"/>
      <c r="H13" s="726"/>
      <c r="I13" s="726"/>
      <c r="J13" s="726"/>
      <c r="K13" s="726"/>
      <c r="L13" s="727"/>
      <c r="M13" s="19"/>
      <c r="N13" s="19"/>
      <c r="O13" s="15"/>
      <c r="P13" s="15"/>
    </row>
    <row r="14" spans="1:16" s="6" customFormat="1" x14ac:dyDescent="0.3">
      <c r="A14" s="33"/>
      <c r="B14" s="633" t="str">
        <f>Pro!B14</f>
        <v>• Report all sales to Canadian and foreign associated firms.</v>
      </c>
      <c r="C14" s="634"/>
      <c r="D14" s="634"/>
      <c r="E14" s="634"/>
      <c r="F14" s="634"/>
      <c r="G14" s="634"/>
      <c r="H14" s="634"/>
      <c r="I14" s="634"/>
      <c r="J14" s="634"/>
      <c r="K14" s="634"/>
      <c r="L14" s="635"/>
      <c r="M14" s="19"/>
      <c r="N14" s="19"/>
      <c r="O14" s="15"/>
      <c r="P14" s="15"/>
    </row>
    <row r="15" spans="1:16" s="6" customFormat="1" x14ac:dyDescent="0.3">
      <c r="A15" s="33"/>
      <c r="B15" s="633" t="str">
        <f>Pro!B15</f>
        <v>• Report all sales as of the date of shipment to the customer or the customer’s warehouse.</v>
      </c>
      <c r="C15" s="634"/>
      <c r="D15" s="634"/>
      <c r="E15" s="634"/>
      <c r="F15" s="634"/>
      <c r="G15" s="634"/>
      <c r="H15" s="634"/>
      <c r="I15" s="634"/>
      <c r="J15" s="634"/>
      <c r="K15" s="634"/>
      <c r="L15" s="635"/>
      <c r="M15" s="19"/>
      <c r="N15" s="19"/>
      <c r="O15" s="15"/>
      <c r="P15" s="15"/>
    </row>
    <row r="16" spans="1:16" s="6" customFormat="1" x14ac:dyDescent="0.3">
      <c r="A16" s="33"/>
      <c r="B16" s="633" t="str">
        <f>Pro!B16</f>
        <v>• Report all values in Canadian dollars.</v>
      </c>
      <c r="C16" s="634"/>
      <c r="D16" s="634"/>
      <c r="E16" s="634"/>
      <c r="F16" s="634"/>
      <c r="G16" s="634"/>
      <c r="H16" s="634"/>
      <c r="I16" s="634"/>
      <c r="J16" s="634"/>
      <c r="K16" s="634"/>
      <c r="L16" s="635"/>
      <c r="M16" s="19"/>
      <c r="N16" s="19"/>
      <c r="O16" s="15"/>
      <c r="P16" s="15"/>
    </row>
    <row r="17" spans="1:16" s="6" customFormat="1" x14ac:dyDescent="0.3">
      <c r="A17" s="33"/>
      <c r="B17" s="636" t="str">
        <f>'Imp-Exp1'!B17</f>
        <v>• If your firm is an end user or a retailer, your firm does not need to report sales of imports or inventories of imports.</v>
      </c>
      <c r="C17" s="637"/>
      <c r="D17" s="637"/>
      <c r="E17" s="637"/>
      <c r="F17" s="637"/>
      <c r="G17" s="637"/>
      <c r="H17" s="637"/>
      <c r="I17" s="637"/>
      <c r="J17" s="637"/>
      <c r="K17" s="637"/>
      <c r="L17" s="638"/>
      <c r="M17" s="19"/>
      <c r="N17" s="19"/>
      <c r="O17" s="15"/>
      <c r="P17" s="15"/>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IMPORTS AND SALES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717" t="str">
        <f>IF(Intro!$G$20="English",O22,P22)</f>
        <v xml:space="preserve">Provide your firm's imports and sales of imports of the goods from: </v>
      </c>
      <c r="C22" s="719"/>
      <c r="D22" s="719"/>
      <c r="E22" s="719"/>
      <c r="F22" s="719"/>
      <c r="G22" s="804" t="str">
        <f>IF(Intro!$G$20="English",Variables!B48,Variables!C48)</f>
        <v>United States of America</v>
      </c>
      <c r="H22" s="805"/>
      <c r="I22" s="805"/>
      <c r="J22" s="805"/>
      <c r="K22" s="806"/>
      <c r="L22" s="67"/>
      <c r="M22" s="10"/>
      <c r="O22" s="10" t="s">
        <v>284</v>
      </c>
      <c r="P22" s="10" t="s">
        <v>285</v>
      </c>
    </row>
    <row r="23" spans="1:16" x14ac:dyDescent="0.3">
      <c r="B23" s="61"/>
      <c r="C23" s="62"/>
      <c r="D23" s="62"/>
      <c r="E23" s="62"/>
      <c r="F23" s="62"/>
      <c r="G23" s="62"/>
      <c r="H23" s="62"/>
      <c r="I23" s="62"/>
      <c r="J23" s="62"/>
      <c r="K23" s="62"/>
      <c r="L23" s="63"/>
      <c r="M23" s="10"/>
    </row>
    <row r="24" spans="1:16" x14ac:dyDescent="0.3">
      <c r="B24" s="61"/>
      <c r="C24" s="35"/>
      <c r="D24" s="35"/>
      <c r="E24" s="36"/>
      <c r="F24" s="36"/>
      <c r="G24" s="36"/>
      <c r="H24" s="36"/>
      <c r="I24" s="36"/>
      <c r="J24" s="36"/>
      <c r="K24" s="36"/>
      <c r="L24" s="17"/>
      <c r="M24" s="10"/>
      <c r="O24" s="18"/>
    </row>
    <row r="25" spans="1:16" x14ac:dyDescent="0.3">
      <c r="B25" s="800" t="str">
        <f>IF(Intro!G$20="English",O25,P25)</f>
        <v>Forged</v>
      </c>
      <c r="C25" s="801"/>
      <c r="D25" s="801"/>
      <c r="E25" s="801"/>
      <c r="F25" s="802"/>
      <c r="G25" s="222">
        <f>Variables!$B$6</f>
        <v>2023</v>
      </c>
      <c r="H25" s="222">
        <f>G25+1</f>
        <v>2024</v>
      </c>
      <c r="I25" s="222">
        <f>H25+1</f>
        <v>2025</v>
      </c>
      <c r="J25" s="222" t="str">
        <f>IF(Intro!$G$20="English",Variables!B9,Variables!C9)</f>
        <v>Jan-Mar 2025</v>
      </c>
      <c r="K25" s="222" t="str">
        <f>IF(Intro!$G$20="English",Variables!B10,Variables!C10)</f>
        <v>Jan-Mar 2026</v>
      </c>
      <c r="L25" s="71"/>
      <c r="M25" s="10"/>
      <c r="O25" s="18" t="str">
        <f>Variables!B70</f>
        <v>Forged</v>
      </c>
      <c r="P25" s="18" t="str">
        <f>Variables!C70</f>
        <v>Forgeage</v>
      </c>
    </row>
    <row r="26" spans="1:16" s="11" customFormat="1" x14ac:dyDescent="0.3">
      <c r="A26" s="32"/>
      <c r="B26" s="740" t="str">
        <f>IF(Intro!$G$20="English",O26,P26)</f>
        <v>Imports in Canada</v>
      </c>
      <c r="C26" s="741"/>
      <c r="D26" s="741"/>
      <c r="E26" s="741"/>
      <c r="F26" s="741"/>
      <c r="G26" s="741"/>
      <c r="H26" s="741"/>
      <c r="I26" s="741"/>
      <c r="J26" s="741"/>
      <c r="K26" s="741"/>
      <c r="L26" s="71"/>
      <c r="O26" s="26" t="s">
        <v>233</v>
      </c>
      <c r="P26" s="11" t="s">
        <v>234</v>
      </c>
    </row>
    <row r="27" spans="1:16" x14ac:dyDescent="0.3">
      <c r="B27" s="540" t="str">
        <f>IF(Intro!$G$20="English",O27,P27)</f>
        <v>Imports</v>
      </c>
      <c r="C27" s="541"/>
      <c r="D27" s="799" t="str">
        <f>IF(Intro!$G$20="English",Variables!$B$23,Variables!$C$23)</f>
        <v>tonnes</v>
      </c>
      <c r="E27" s="799"/>
      <c r="F27" s="799"/>
      <c r="G27" s="137"/>
      <c r="H27" s="137"/>
      <c r="I27" s="137"/>
      <c r="J27" s="137"/>
      <c r="K27" s="131"/>
      <c r="L27" s="71"/>
      <c r="M27" s="10"/>
      <c r="O27" s="10" t="s">
        <v>91</v>
      </c>
      <c r="P27" s="10" t="s">
        <v>169</v>
      </c>
    </row>
    <row r="28" spans="1:16" x14ac:dyDescent="0.3">
      <c r="B28" s="540"/>
      <c r="C28" s="541"/>
      <c r="D28" s="799" t="str">
        <f>IF(Intro!G$20="English",O28,P28)</f>
        <v>net delivered purchase value (CAD)</v>
      </c>
      <c r="E28" s="799"/>
      <c r="F28" s="799"/>
      <c r="G28" s="137"/>
      <c r="H28" s="137"/>
      <c r="I28" s="137"/>
      <c r="J28" s="137"/>
      <c r="K28" s="131"/>
      <c r="L28" s="71"/>
      <c r="M28" s="10"/>
      <c r="O28" s="10" t="s">
        <v>342</v>
      </c>
      <c r="P28" s="10" t="s">
        <v>341</v>
      </c>
    </row>
    <row r="29" spans="1:16" x14ac:dyDescent="0.3">
      <c r="B29" s="540"/>
      <c r="C29" s="541"/>
      <c r="D29" s="799" t="str">
        <f>"$ / "&amp;IF(Intro!$G$20="English",Variables!$B$24,Variables!$C$24)</f>
        <v>$ / tonne</v>
      </c>
      <c r="E29" s="799"/>
      <c r="F29" s="799"/>
      <c r="G29" s="289" t="str">
        <f>IF(G27=0,"-",G28/G27)</f>
        <v>-</v>
      </c>
      <c r="H29" s="289" t="str">
        <f>IF(H27=0,"-",H28/H27)</f>
        <v>-</v>
      </c>
      <c r="I29" s="289" t="str">
        <f>IF(I27=0,"-",I28/I27)</f>
        <v>-</v>
      </c>
      <c r="J29" s="289" t="str">
        <f>IF(J27=0,"-",J28/J27)</f>
        <v>-</v>
      </c>
      <c r="K29" s="289" t="str">
        <f>IF(K27=0,"-",K28/K27)</f>
        <v>-</v>
      </c>
      <c r="L29" s="71"/>
      <c r="M29" s="10"/>
    </row>
    <row r="30" spans="1:16" s="11" customFormat="1" x14ac:dyDescent="0.3">
      <c r="A30" s="32"/>
      <c r="B30" s="803" t="str">
        <f>IF(Intro!$G$20="English",O30,P30)</f>
        <v>Sales in Canada</v>
      </c>
      <c r="C30" s="662"/>
      <c r="D30" s="662"/>
      <c r="E30" s="662"/>
      <c r="F30" s="662"/>
      <c r="G30" s="662"/>
      <c r="H30" s="662"/>
      <c r="I30" s="662"/>
      <c r="J30" s="662"/>
      <c r="K30" s="662"/>
      <c r="L30" s="71"/>
      <c r="O30" s="26" t="s">
        <v>235</v>
      </c>
      <c r="P30" s="11" t="s">
        <v>236</v>
      </c>
    </row>
    <row r="31" spans="1:16" x14ac:dyDescent="0.3">
      <c r="B31" s="540" t="str">
        <f>IF(Intro!$G$20="English",O31,P31)</f>
        <v>Sales to end users in Canada</v>
      </c>
      <c r="C31" s="541"/>
      <c r="D31" s="799" t="str">
        <f>D27</f>
        <v>tonnes</v>
      </c>
      <c r="E31" s="799"/>
      <c r="F31" s="799"/>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99" t="str">
        <f>IF(Intro!G$20="English",O32,P32)</f>
        <v>net delivered selling value (CAD)</v>
      </c>
      <c r="E32" s="799"/>
      <c r="F32" s="799"/>
      <c r="G32" s="137"/>
      <c r="H32" s="137"/>
      <c r="I32" s="137"/>
      <c r="J32" s="137"/>
      <c r="K32" s="131"/>
      <c r="L32" s="71"/>
      <c r="M32" s="10"/>
      <c r="O32" s="10" t="s">
        <v>344</v>
      </c>
      <c r="P32" s="10" t="s">
        <v>343</v>
      </c>
    </row>
    <row r="33" spans="1:16" ht="15" thickBot="1" x14ac:dyDescent="0.35">
      <c r="B33" s="752"/>
      <c r="C33" s="753"/>
      <c r="D33" s="797" t="str">
        <f>D29</f>
        <v>$ / tonne</v>
      </c>
      <c r="E33" s="797"/>
      <c r="F33" s="797"/>
      <c r="G33" s="157" t="str">
        <f>IF(G31=0,"-",G32/G31)</f>
        <v>-</v>
      </c>
      <c r="H33" s="157" t="str">
        <f>IF(H31=0,"-",H32/H31)</f>
        <v>-</v>
      </c>
      <c r="I33" s="157" t="str">
        <f>IF(I31=0,"-",I32/I31)</f>
        <v>-</v>
      </c>
      <c r="J33" s="157" t="str">
        <f t="shared" ref="J33:K33" si="0">IF(J31=0,"-",J32/J31)</f>
        <v>-</v>
      </c>
      <c r="K33" s="157" t="str">
        <f t="shared" si="0"/>
        <v>-</v>
      </c>
      <c r="L33" s="71"/>
      <c r="M33" s="10"/>
    </row>
    <row r="34" spans="1:16" x14ac:dyDescent="0.3">
      <c r="B34" s="754" t="str">
        <f>IF(Intro!$G$20="English",O34,P34)</f>
        <v>Sales to other in Canada</v>
      </c>
      <c r="C34" s="755"/>
      <c r="D34" s="798" t="str">
        <f t="shared" ref="D34:D36" si="1">D31</f>
        <v>tonnes</v>
      </c>
      <c r="E34" s="798"/>
      <c r="F34" s="798"/>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99" t="str">
        <f t="shared" si="1"/>
        <v>net delivered selling value (CAD)</v>
      </c>
      <c r="E35" s="799"/>
      <c r="F35" s="799"/>
      <c r="G35" s="137"/>
      <c r="H35" s="137"/>
      <c r="I35" s="137"/>
      <c r="J35" s="137"/>
      <c r="K35" s="131"/>
      <c r="L35" s="71"/>
      <c r="M35" s="10"/>
    </row>
    <row r="36" spans="1:16" ht="15" thickBot="1" x14ac:dyDescent="0.35">
      <c r="B36" s="752"/>
      <c r="C36" s="753"/>
      <c r="D36" s="797" t="str">
        <f t="shared" si="1"/>
        <v>$ / tonne</v>
      </c>
      <c r="E36" s="797"/>
      <c r="F36" s="797"/>
      <c r="G36" s="289" t="str">
        <f>IF(G34=0,"-",G35/G34)</f>
        <v>-</v>
      </c>
      <c r="H36" s="289" t="str">
        <f>IF(H34=0,"-",H35/H34)</f>
        <v>-</v>
      </c>
      <c r="I36" s="289" t="str">
        <f>IF(I34=0,"-",I35/I34)</f>
        <v>-</v>
      </c>
      <c r="J36" s="289" t="str">
        <f>IF(J34=0,"-",J35/J34)</f>
        <v>-</v>
      </c>
      <c r="K36" s="289" t="str">
        <f>IF(K34=0,"-",K35/K34)</f>
        <v>-</v>
      </c>
      <c r="L36" s="71"/>
      <c r="M36" s="10"/>
    </row>
    <row r="37" spans="1:16" x14ac:dyDescent="0.3">
      <c r="B37" s="607" t="str">
        <f>IF(Intro!$G$20="English",O37,P37)</f>
        <v>Total sales in Canada</v>
      </c>
      <c r="C37" s="608"/>
      <c r="D37" s="749" t="str">
        <f>D34</f>
        <v>tonnes</v>
      </c>
      <c r="E37" s="749"/>
      <c r="F37" s="749"/>
      <c r="G37" s="139">
        <f t="shared" ref="G37:K38" si="2">G31+G34</f>
        <v>0</v>
      </c>
      <c r="H37" s="139">
        <f t="shared" si="2"/>
        <v>0</v>
      </c>
      <c r="I37" s="139">
        <f t="shared" si="2"/>
        <v>0</v>
      </c>
      <c r="J37" s="139">
        <f t="shared" si="2"/>
        <v>0</v>
      </c>
      <c r="K37" s="139">
        <f t="shared" si="2"/>
        <v>0</v>
      </c>
      <c r="L37" s="71"/>
      <c r="M37" s="10"/>
      <c r="O37" s="10" t="s">
        <v>345</v>
      </c>
      <c r="P37" s="10" t="s">
        <v>346</v>
      </c>
    </row>
    <row r="38" spans="1:16" x14ac:dyDescent="0.3">
      <c r="B38" s="596"/>
      <c r="C38" s="597"/>
      <c r="D38" s="771" t="str">
        <f>D35</f>
        <v>net delivered selling value (CAD)</v>
      </c>
      <c r="E38" s="771"/>
      <c r="F38" s="771"/>
      <c r="G38" s="138">
        <f t="shared" si="2"/>
        <v>0</v>
      </c>
      <c r="H38" s="138">
        <f t="shared" si="2"/>
        <v>0</v>
      </c>
      <c r="I38" s="138">
        <f t="shared" si="2"/>
        <v>0</v>
      </c>
      <c r="J38" s="138">
        <f t="shared" si="2"/>
        <v>0</v>
      </c>
      <c r="K38" s="138">
        <f t="shared" si="2"/>
        <v>0</v>
      </c>
      <c r="L38" s="71"/>
      <c r="M38" s="10"/>
    </row>
    <row r="39" spans="1:16" x14ac:dyDescent="0.3">
      <c r="B39" s="596"/>
      <c r="C39" s="597"/>
      <c r="D39" s="771" t="str">
        <f>D36</f>
        <v>$ / tonne</v>
      </c>
      <c r="E39" s="771"/>
      <c r="F39" s="771"/>
      <c r="G39" s="289" t="str">
        <f>IF(G37=0,"-",G38/G37)</f>
        <v>-</v>
      </c>
      <c r="H39" s="289" t="str">
        <f>IF(H37=0,"-",H38/H37)</f>
        <v>-</v>
      </c>
      <c r="I39" s="289" t="str">
        <f>IF(I37=0,"-",I38/I37)</f>
        <v>-</v>
      </c>
      <c r="J39" s="289" t="str">
        <f>IF(J37=0,"-",J38/J37)</f>
        <v>-</v>
      </c>
      <c r="K39" s="289" t="str">
        <f>IF(K37=0,"-",K38/K37)</f>
        <v>-</v>
      </c>
      <c r="L39" s="71"/>
      <c r="M39" s="10"/>
    </row>
    <row r="40" spans="1:16" x14ac:dyDescent="0.3">
      <c r="B40" s="258"/>
      <c r="C40" s="35"/>
      <c r="D40" s="35"/>
      <c r="E40" s="36"/>
      <c r="F40" s="36"/>
      <c r="G40" s="36"/>
      <c r="H40" s="36"/>
      <c r="I40" s="36"/>
      <c r="J40" s="36"/>
      <c r="K40" s="36"/>
      <c r="L40" s="17"/>
      <c r="M40" s="10"/>
      <c r="O40" s="18"/>
    </row>
    <row r="41" spans="1:16" x14ac:dyDescent="0.3">
      <c r="B41" s="800" t="str">
        <f>IF(Intro!G$20="English",O41,P41)</f>
        <v>Stamped</v>
      </c>
      <c r="C41" s="801"/>
      <c r="D41" s="801"/>
      <c r="E41" s="801"/>
      <c r="F41" s="802"/>
      <c r="G41" s="266">
        <f>G25</f>
        <v>2023</v>
      </c>
      <c r="H41" s="266">
        <f>H25</f>
        <v>2024</v>
      </c>
      <c r="I41" s="266">
        <f t="shared" ref="I41:K41" si="3">I25</f>
        <v>2025</v>
      </c>
      <c r="J41" s="266" t="str">
        <f t="shared" si="3"/>
        <v>Jan-Mar 2025</v>
      </c>
      <c r="K41" s="266" t="str">
        <f t="shared" si="3"/>
        <v>Jan-Mar 2026</v>
      </c>
      <c r="L41" s="71"/>
      <c r="M41" s="10"/>
      <c r="O41" s="18" t="str">
        <f>Variables!B71</f>
        <v>Stamped</v>
      </c>
      <c r="P41" s="18" t="str">
        <f>Variables!C71</f>
        <v>Estampage</v>
      </c>
    </row>
    <row r="42" spans="1:16" s="262" customFormat="1" x14ac:dyDescent="0.3">
      <c r="A42" s="32"/>
      <c r="B42" s="740" t="str">
        <f>IF(Intro!$G$20="English",O42,P42)</f>
        <v>Imports in Canada</v>
      </c>
      <c r="C42" s="741"/>
      <c r="D42" s="741"/>
      <c r="E42" s="741"/>
      <c r="F42" s="741"/>
      <c r="G42" s="741"/>
      <c r="H42" s="741"/>
      <c r="I42" s="741"/>
      <c r="J42" s="741"/>
      <c r="K42" s="741"/>
      <c r="L42" s="71"/>
      <c r="O42" s="26" t="s">
        <v>233</v>
      </c>
      <c r="P42" s="262" t="s">
        <v>234</v>
      </c>
    </row>
    <row r="43" spans="1:16" x14ac:dyDescent="0.3">
      <c r="B43" s="540" t="str">
        <f>IF(Intro!$G$20="English",O43,P43)</f>
        <v>Imports</v>
      </c>
      <c r="C43" s="541"/>
      <c r="D43" s="799" t="str">
        <f>IF(Intro!$G$20="English",Variables!$B$23,Variables!$C$23)</f>
        <v>tonnes</v>
      </c>
      <c r="E43" s="799"/>
      <c r="F43" s="799"/>
      <c r="G43" s="137"/>
      <c r="H43" s="137"/>
      <c r="I43" s="137"/>
      <c r="J43" s="137"/>
      <c r="K43" s="131"/>
      <c r="L43" s="71"/>
      <c r="M43" s="10"/>
      <c r="O43" s="10" t="s">
        <v>91</v>
      </c>
      <c r="P43" s="10" t="s">
        <v>169</v>
      </c>
    </row>
    <row r="44" spans="1:16" x14ac:dyDescent="0.3">
      <c r="B44" s="540"/>
      <c r="C44" s="541"/>
      <c r="D44" s="799" t="str">
        <f>IF(Intro!G$20="English",O44,P44)</f>
        <v>net delivered purchase value (CAD)</v>
      </c>
      <c r="E44" s="799"/>
      <c r="F44" s="799"/>
      <c r="G44" s="137"/>
      <c r="H44" s="137"/>
      <c r="I44" s="137"/>
      <c r="J44" s="137"/>
      <c r="K44" s="131"/>
      <c r="L44" s="71"/>
      <c r="M44" s="10"/>
      <c r="O44" s="10" t="s">
        <v>342</v>
      </c>
      <c r="P44" s="10" t="s">
        <v>341</v>
      </c>
    </row>
    <row r="45" spans="1:16" x14ac:dyDescent="0.3">
      <c r="B45" s="540"/>
      <c r="C45" s="541"/>
      <c r="D45" s="799" t="str">
        <f>"$ / "&amp;IF(Intro!$G$20="English",Variables!$B$24,Variables!$C$24)</f>
        <v>$ / tonne</v>
      </c>
      <c r="E45" s="799"/>
      <c r="F45" s="799"/>
      <c r="G45" s="289" t="str">
        <f>IF(G43=0,"-",G44/G43)</f>
        <v>-</v>
      </c>
      <c r="H45" s="289" t="str">
        <f>IF(H43=0,"-",H44/H43)</f>
        <v>-</v>
      </c>
      <c r="I45" s="289" t="str">
        <f>IF(I43=0,"-",I44/I43)</f>
        <v>-</v>
      </c>
      <c r="J45" s="289" t="str">
        <f>IF(J43=0,"-",J44/J43)</f>
        <v>-</v>
      </c>
      <c r="K45" s="289" t="str">
        <f>IF(K43=0,"-",K44/K43)</f>
        <v>-</v>
      </c>
      <c r="L45" s="71"/>
      <c r="M45" s="10"/>
    </row>
    <row r="46" spans="1:16" s="262" customFormat="1" x14ac:dyDescent="0.3">
      <c r="A46" s="32"/>
      <c r="B46" s="803" t="str">
        <f>IF(Intro!$G$20="English",O46,P46)</f>
        <v>Sales in Canada</v>
      </c>
      <c r="C46" s="662"/>
      <c r="D46" s="662"/>
      <c r="E46" s="662"/>
      <c r="F46" s="662"/>
      <c r="G46" s="662"/>
      <c r="H46" s="662"/>
      <c r="I46" s="662"/>
      <c r="J46" s="662"/>
      <c r="K46" s="662"/>
      <c r="L46" s="71"/>
      <c r="O46" s="26" t="s">
        <v>235</v>
      </c>
      <c r="P46" s="262" t="s">
        <v>236</v>
      </c>
    </row>
    <row r="47" spans="1:16" x14ac:dyDescent="0.3">
      <c r="B47" s="540" t="str">
        <f>IF(Intro!$G$20="English",O47,P47)</f>
        <v>Sales to end users in Canada</v>
      </c>
      <c r="C47" s="541"/>
      <c r="D47" s="799" t="str">
        <f>D43</f>
        <v>tonnes</v>
      </c>
      <c r="E47" s="799"/>
      <c r="F47" s="799"/>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99" t="str">
        <f>IF(Intro!G$20="English",O48,P48)</f>
        <v>net delivered selling value (CAD)</v>
      </c>
      <c r="E48" s="799"/>
      <c r="F48" s="799"/>
      <c r="G48" s="137"/>
      <c r="H48" s="137"/>
      <c r="I48" s="137"/>
      <c r="J48" s="137"/>
      <c r="K48" s="131"/>
      <c r="L48" s="71"/>
      <c r="M48" s="10"/>
      <c r="O48" s="10" t="s">
        <v>344</v>
      </c>
      <c r="P48" s="10" t="s">
        <v>343</v>
      </c>
    </row>
    <row r="49" spans="1:16" ht="15" thickBot="1" x14ac:dyDescent="0.35">
      <c r="B49" s="752"/>
      <c r="C49" s="753"/>
      <c r="D49" s="797" t="str">
        <f>D45</f>
        <v>$ / tonne</v>
      </c>
      <c r="E49" s="797"/>
      <c r="F49" s="797"/>
      <c r="G49" s="157" t="str">
        <f>IF(G47=0,"-",G48/G47)</f>
        <v>-</v>
      </c>
      <c r="H49" s="157" t="str">
        <f>IF(H47=0,"-",H48/H47)</f>
        <v>-</v>
      </c>
      <c r="I49" s="157" t="str">
        <f>IF(I47=0,"-",I48/I47)</f>
        <v>-</v>
      </c>
      <c r="J49" s="157" t="str">
        <f t="shared" ref="J49:K49" si="4">IF(J47=0,"-",J48/J47)</f>
        <v>-</v>
      </c>
      <c r="K49" s="157" t="str">
        <f t="shared" si="4"/>
        <v>-</v>
      </c>
      <c r="L49" s="71"/>
      <c r="M49" s="10"/>
    </row>
    <row r="50" spans="1:16" x14ac:dyDescent="0.3">
      <c r="B50" s="754" t="str">
        <f>IF(Intro!$G$20="English",O50,P50)</f>
        <v>Sales to other in Canada</v>
      </c>
      <c r="C50" s="755"/>
      <c r="D50" s="798" t="str">
        <f t="shared" ref="D50:D52" si="5">D47</f>
        <v>tonnes</v>
      </c>
      <c r="E50" s="798"/>
      <c r="F50" s="798"/>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99" t="str">
        <f t="shared" si="5"/>
        <v>net delivered selling value (CAD)</v>
      </c>
      <c r="E51" s="799"/>
      <c r="F51" s="799"/>
      <c r="G51" s="137"/>
      <c r="H51" s="137"/>
      <c r="I51" s="137"/>
      <c r="J51" s="137"/>
      <c r="K51" s="131"/>
      <c r="L51" s="71"/>
      <c r="M51" s="10"/>
    </row>
    <row r="52" spans="1:16" ht="15" thickBot="1" x14ac:dyDescent="0.35">
      <c r="B52" s="752"/>
      <c r="C52" s="753"/>
      <c r="D52" s="797" t="str">
        <f t="shared" si="5"/>
        <v>$ / tonne</v>
      </c>
      <c r="E52" s="797"/>
      <c r="F52" s="797"/>
      <c r="G52" s="289" t="str">
        <f>IF(G50=0,"-",G51/G50)</f>
        <v>-</v>
      </c>
      <c r="H52" s="289" t="str">
        <f>IF(H50=0,"-",H51/H50)</f>
        <v>-</v>
      </c>
      <c r="I52" s="289" t="str">
        <f>IF(I50=0,"-",I51/I50)</f>
        <v>-</v>
      </c>
      <c r="J52" s="289" t="str">
        <f>IF(J50=0,"-",J51/J50)</f>
        <v>-</v>
      </c>
      <c r="K52" s="289" t="str">
        <f>IF(K50=0,"-",K51/K50)</f>
        <v>-</v>
      </c>
      <c r="L52" s="71"/>
      <c r="M52" s="10"/>
    </row>
    <row r="53" spans="1:16" x14ac:dyDescent="0.3">
      <c r="B53" s="607" t="str">
        <f>IF(Intro!$G$20="English",O53,P53)</f>
        <v>Total sales in Canada</v>
      </c>
      <c r="C53" s="608"/>
      <c r="D53" s="749" t="str">
        <f>D50</f>
        <v>tonnes</v>
      </c>
      <c r="E53" s="749"/>
      <c r="F53" s="749"/>
      <c r="G53" s="139">
        <f t="shared" ref="G53:K53" si="6">G47+G50</f>
        <v>0</v>
      </c>
      <c r="H53" s="139">
        <f t="shared" si="6"/>
        <v>0</v>
      </c>
      <c r="I53" s="139">
        <f t="shared" si="6"/>
        <v>0</v>
      </c>
      <c r="J53" s="139">
        <f t="shared" si="6"/>
        <v>0</v>
      </c>
      <c r="K53" s="139">
        <f t="shared" si="6"/>
        <v>0</v>
      </c>
      <c r="L53" s="71"/>
      <c r="M53" s="10"/>
      <c r="O53" s="10" t="s">
        <v>345</v>
      </c>
      <c r="P53" s="10" t="s">
        <v>346</v>
      </c>
    </row>
    <row r="54" spans="1:16" x14ac:dyDescent="0.3">
      <c r="B54" s="596"/>
      <c r="C54" s="597"/>
      <c r="D54" s="771" t="str">
        <f>D51</f>
        <v>net delivered selling value (CAD)</v>
      </c>
      <c r="E54" s="771"/>
      <c r="F54" s="771"/>
      <c r="G54" s="138">
        <f t="shared" ref="G54:K54" si="7">G48+G51</f>
        <v>0</v>
      </c>
      <c r="H54" s="138">
        <f t="shared" si="7"/>
        <v>0</v>
      </c>
      <c r="I54" s="138">
        <f t="shared" si="7"/>
        <v>0</v>
      </c>
      <c r="J54" s="138">
        <f t="shared" si="7"/>
        <v>0</v>
      </c>
      <c r="K54" s="138">
        <f t="shared" si="7"/>
        <v>0</v>
      </c>
      <c r="L54" s="71"/>
      <c r="M54" s="10"/>
    </row>
    <row r="55" spans="1:16" x14ac:dyDescent="0.3">
      <c r="B55" s="596"/>
      <c r="C55" s="597"/>
      <c r="D55" s="771" t="str">
        <f>D52</f>
        <v>$ / tonne</v>
      </c>
      <c r="E55" s="771"/>
      <c r="F55" s="771"/>
      <c r="G55" s="289" t="str">
        <f>IF(G53=0,"-",G54/G53)</f>
        <v>-</v>
      </c>
      <c r="H55" s="289" t="str">
        <f>IF(H53=0,"-",H54/H53)</f>
        <v>-</v>
      </c>
      <c r="I55" s="289" t="str">
        <f>IF(I53=0,"-",I54/I53)</f>
        <v>-</v>
      </c>
      <c r="J55" s="289" t="str">
        <f>IF(J53=0,"-",J54/J53)</f>
        <v>-</v>
      </c>
      <c r="K55" s="289" t="str">
        <f>IF(K53=0,"-",K54/K53)</f>
        <v>-</v>
      </c>
      <c r="L55" s="71"/>
      <c r="M55" s="10"/>
    </row>
    <row r="56" spans="1:16" x14ac:dyDescent="0.3">
      <c r="B56" s="258"/>
      <c r="C56" s="35"/>
      <c r="D56" s="35"/>
      <c r="E56" s="36"/>
      <c r="F56" s="36"/>
      <c r="G56" s="36"/>
      <c r="H56" s="36"/>
      <c r="I56" s="36"/>
      <c r="J56" s="36"/>
      <c r="K56" s="36"/>
      <c r="L56" s="17"/>
      <c r="M56" s="10"/>
      <c r="O56" s="18"/>
    </row>
    <row r="57" spans="1:16" x14ac:dyDescent="0.3">
      <c r="B57" s="800" t="str">
        <f>IF(Intro!G$20="English",O57,P57)</f>
        <v>Unfinished (Green Balls)</v>
      </c>
      <c r="C57" s="801"/>
      <c r="D57" s="801"/>
      <c r="E57" s="801"/>
      <c r="F57" s="802"/>
      <c r="G57" s="266">
        <f>G41</f>
        <v>2023</v>
      </c>
      <c r="H57" s="266">
        <f>H41</f>
        <v>2024</v>
      </c>
      <c r="I57" s="266">
        <f t="shared" ref="I57:K57" si="8">I41</f>
        <v>2025</v>
      </c>
      <c r="J57" s="266" t="str">
        <f t="shared" si="8"/>
        <v>Jan-Mar 2025</v>
      </c>
      <c r="K57" s="266" t="str">
        <f t="shared" si="8"/>
        <v>Jan-Mar 2026</v>
      </c>
      <c r="L57" s="71"/>
      <c r="M57" s="10"/>
      <c r="O57" s="18" t="str">
        <f>Variables!B72</f>
        <v>Unfinished (Green Balls)</v>
      </c>
      <c r="P57" s="18" t="str">
        <f>Variables!C72</f>
        <v>Non finis (les boulets verts)</v>
      </c>
    </row>
    <row r="58" spans="1:16" s="262" customFormat="1" x14ac:dyDescent="0.3">
      <c r="A58" s="32"/>
      <c r="B58" s="740" t="str">
        <f>IF(Intro!$G$20="English",O58,P58)</f>
        <v>Imports in Canada</v>
      </c>
      <c r="C58" s="741"/>
      <c r="D58" s="741"/>
      <c r="E58" s="741"/>
      <c r="F58" s="741"/>
      <c r="G58" s="741"/>
      <c r="H58" s="741"/>
      <c r="I58" s="741"/>
      <c r="J58" s="741"/>
      <c r="K58" s="741"/>
      <c r="L58" s="71"/>
      <c r="O58" s="26" t="s">
        <v>233</v>
      </c>
      <c r="P58" s="262" t="s">
        <v>234</v>
      </c>
    </row>
    <row r="59" spans="1:16" x14ac:dyDescent="0.3">
      <c r="B59" s="540" t="str">
        <f>IF(Intro!$G$20="English",O59,P59)</f>
        <v>Imports</v>
      </c>
      <c r="C59" s="541"/>
      <c r="D59" s="799" t="str">
        <f>IF(Intro!$G$20="English",Variables!$B$23,Variables!$C$23)</f>
        <v>tonnes</v>
      </c>
      <c r="E59" s="799"/>
      <c r="F59" s="799"/>
      <c r="G59" s="137"/>
      <c r="H59" s="137"/>
      <c r="I59" s="137"/>
      <c r="J59" s="137"/>
      <c r="K59" s="131"/>
      <c r="L59" s="71"/>
      <c r="M59" s="10"/>
      <c r="O59" s="10" t="s">
        <v>91</v>
      </c>
      <c r="P59" s="10" t="s">
        <v>169</v>
      </c>
    </row>
    <row r="60" spans="1:16" x14ac:dyDescent="0.3">
      <c r="B60" s="540"/>
      <c r="C60" s="541"/>
      <c r="D60" s="799" t="str">
        <f>IF(Intro!G$20="English",O60,P60)</f>
        <v>net delivered purchase value (CAD)</v>
      </c>
      <c r="E60" s="799"/>
      <c r="F60" s="799"/>
      <c r="G60" s="137"/>
      <c r="H60" s="137"/>
      <c r="I60" s="137"/>
      <c r="J60" s="137"/>
      <c r="K60" s="131"/>
      <c r="L60" s="71"/>
      <c r="M60" s="10"/>
      <c r="O60" s="10" t="s">
        <v>342</v>
      </c>
      <c r="P60" s="10" t="s">
        <v>341</v>
      </c>
    </row>
    <row r="61" spans="1:16" x14ac:dyDescent="0.3">
      <c r="B61" s="540"/>
      <c r="C61" s="541"/>
      <c r="D61" s="799" t="str">
        <f>"$ / "&amp;IF(Intro!$G$20="English",Variables!$B$24,Variables!$C$24)</f>
        <v>$ / tonne</v>
      </c>
      <c r="E61" s="799"/>
      <c r="F61" s="799"/>
      <c r="G61" s="289" t="str">
        <f>IF(G59=0,"-",G60/G59)</f>
        <v>-</v>
      </c>
      <c r="H61" s="289" t="str">
        <f>IF(H59=0,"-",H60/H59)</f>
        <v>-</v>
      </c>
      <c r="I61" s="289" t="str">
        <f>IF(I59=0,"-",I60/I59)</f>
        <v>-</v>
      </c>
      <c r="J61" s="289" t="str">
        <f>IF(J59=0,"-",J60/J59)</f>
        <v>-</v>
      </c>
      <c r="K61" s="289" t="str">
        <f>IF(K59=0,"-",K60/K59)</f>
        <v>-</v>
      </c>
      <c r="L61" s="71"/>
      <c r="M61" s="10"/>
    </row>
    <row r="62" spans="1:16" s="262" customFormat="1" x14ac:dyDescent="0.3">
      <c r="A62" s="32"/>
      <c r="B62" s="803" t="str">
        <f>IF(Intro!$G$20="English",O62,P62)</f>
        <v>Sales in Canada</v>
      </c>
      <c r="C62" s="662"/>
      <c r="D62" s="662"/>
      <c r="E62" s="662"/>
      <c r="F62" s="662"/>
      <c r="G62" s="662"/>
      <c r="H62" s="662"/>
      <c r="I62" s="662"/>
      <c r="J62" s="662"/>
      <c r="K62" s="662"/>
      <c r="L62" s="71"/>
      <c r="O62" s="26" t="s">
        <v>235</v>
      </c>
      <c r="P62" s="262" t="s">
        <v>236</v>
      </c>
    </row>
    <row r="63" spans="1:16" x14ac:dyDescent="0.3">
      <c r="B63" s="540" t="str">
        <f>IF(Intro!$G$20="English",O63,P63)</f>
        <v>Sales to end users in Canada</v>
      </c>
      <c r="C63" s="541"/>
      <c r="D63" s="799" t="str">
        <f>D59</f>
        <v>tonnes</v>
      </c>
      <c r="E63" s="799"/>
      <c r="F63" s="799"/>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99" t="str">
        <f>IF(Intro!G$20="English",O64,P64)</f>
        <v>net delivered selling value (CAD)</v>
      </c>
      <c r="E64" s="799"/>
      <c r="F64" s="799"/>
      <c r="G64" s="137"/>
      <c r="H64" s="137"/>
      <c r="I64" s="137"/>
      <c r="J64" s="137"/>
      <c r="K64" s="131"/>
      <c r="L64" s="71"/>
      <c r="M64" s="10"/>
      <c r="O64" s="10" t="s">
        <v>344</v>
      </c>
      <c r="P64" s="10" t="s">
        <v>343</v>
      </c>
    </row>
    <row r="65" spans="1:16" ht="15" thickBot="1" x14ac:dyDescent="0.35">
      <c r="B65" s="752"/>
      <c r="C65" s="753"/>
      <c r="D65" s="797" t="str">
        <f>D61</f>
        <v>$ / tonne</v>
      </c>
      <c r="E65" s="797"/>
      <c r="F65" s="797"/>
      <c r="G65" s="289" t="str">
        <f>IF(G63=0,"-",G64/G63)</f>
        <v>-</v>
      </c>
      <c r="H65" s="289" t="str">
        <f>IF(H63=0,"-",H64/H63)</f>
        <v>-</v>
      </c>
      <c r="I65" s="289" t="str">
        <f>IF(I63=0,"-",I64/I63)</f>
        <v>-</v>
      </c>
      <c r="J65" s="289" t="str">
        <f>IF(J63=0,"-",J64/J63)</f>
        <v>-</v>
      </c>
      <c r="K65" s="289" t="str">
        <f>IF(K63=0,"-",K64/K63)</f>
        <v>-</v>
      </c>
      <c r="L65" s="71"/>
      <c r="M65" s="10"/>
    </row>
    <row r="66" spans="1:16" x14ac:dyDescent="0.3">
      <c r="B66" s="754" t="str">
        <f>IF(Intro!$G$20="English",O66,P66)</f>
        <v>Sales to other in Canada</v>
      </c>
      <c r="C66" s="755"/>
      <c r="D66" s="798" t="str">
        <f t="shared" ref="D66:D68" si="9">D63</f>
        <v>tonnes</v>
      </c>
      <c r="E66" s="798"/>
      <c r="F66" s="798"/>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99" t="str">
        <f t="shared" si="9"/>
        <v>net delivered selling value (CAD)</v>
      </c>
      <c r="E67" s="799"/>
      <c r="F67" s="799"/>
      <c r="G67" s="137"/>
      <c r="H67" s="137"/>
      <c r="I67" s="137"/>
      <c r="J67" s="137"/>
      <c r="K67" s="131"/>
      <c r="L67" s="71"/>
      <c r="M67" s="10"/>
    </row>
    <row r="68" spans="1:16" ht="15" thickBot="1" x14ac:dyDescent="0.35">
      <c r="B68" s="752"/>
      <c r="C68" s="753"/>
      <c r="D68" s="797" t="str">
        <f t="shared" si="9"/>
        <v>$ / tonne</v>
      </c>
      <c r="E68" s="797"/>
      <c r="F68" s="797"/>
      <c r="G68" s="289" t="str">
        <f>IF(G66=0,"-",G67/G66)</f>
        <v>-</v>
      </c>
      <c r="H68" s="289" t="str">
        <f>IF(H66=0,"-",H67/H66)</f>
        <v>-</v>
      </c>
      <c r="I68" s="289" t="str">
        <f>IF(I66=0,"-",I67/I66)</f>
        <v>-</v>
      </c>
      <c r="J68" s="289" t="str">
        <f>IF(J66=0,"-",J67/J66)</f>
        <v>-</v>
      </c>
      <c r="K68" s="289" t="str">
        <f>IF(K66=0,"-",K67/K66)</f>
        <v>-</v>
      </c>
      <c r="L68" s="71"/>
      <c r="M68" s="10"/>
    </row>
    <row r="69" spans="1:16" x14ac:dyDescent="0.3">
      <c r="B69" s="607" t="str">
        <f>IF(Intro!$G$20="English",O69,P69)</f>
        <v>Total sales in Canada</v>
      </c>
      <c r="C69" s="608"/>
      <c r="D69" s="749" t="str">
        <f>D66</f>
        <v>tonnes</v>
      </c>
      <c r="E69" s="749"/>
      <c r="F69" s="749"/>
      <c r="G69" s="139">
        <f t="shared" ref="G69:K69" si="10">G63+G66</f>
        <v>0</v>
      </c>
      <c r="H69" s="139">
        <f t="shared" si="10"/>
        <v>0</v>
      </c>
      <c r="I69" s="139">
        <f t="shared" si="10"/>
        <v>0</v>
      </c>
      <c r="J69" s="139">
        <f t="shared" si="10"/>
        <v>0</v>
      </c>
      <c r="K69" s="139">
        <f t="shared" si="10"/>
        <v>0</v>
      </c>
      <c r="L69" s="71"/>
      <c r="M69" s="10"/>
      <c r="O69" s="10" t="s">
        <v>345</v>
      </c>
      <c r="P69" s="10" t="s">
        <v>346</v>
      </c>
    </row>
    <row r="70" spans="1:16" x14ac:dyDescent="0.3">
      <c r="B70" s="596"/>
      <c r="C70" s="597"/>
      <c r="D70" s="771" t="str">
        <f>D67</f>
        <v>net delivered selling value (CAD)</v>
      </c>
      <c r="E70" s="771"/>
      <c r="F70" s="771"/>
      <c r="G70" s="138">
        <f t="shared" ref="G70:K70" si="11">G64+G67</f>
        <v>0</v>
      </c>
      <c r="H70" s="138">
        <f t="shared" si="11"/>
        <v>0</v>
      </c>
      <c r="I70" s="138">
        <f t="shared" si="11"/>
        <v>0</v>
      </c>
      <c r="J70" s="138">
        <f t="shared" si="11"/>
        <v>0</v>
      </c>
      <c r="K70" s="138">
        <f t="shared" si="11"/>
        <v>0</v>
      </c>
      <c r="L70" s="71"/>
      <c r="M70" s="10"/>
    </row>
    <row r="71" spans="1:16" x14ac:dyDescent="0.3">
      <c r="B71" s="596"/>
      <c r="C71" s="597"/>
      <c r="D71" s="771" t="str">
        <f>D68</f>
        <v>$ / tonne</v>
      </c>
      <c r="E71" s="771"/>
      <c r="F71" s="771"/>
      <c r="G71" s="289" t="str">
        <f>IF(G69=0,"-",G70/G69)</f>
        <v>-</v>
      </c>
      <c r="H71" s="289" t="str">
        <f>IF(H69=0,"-",H70/H69)</f>
        <v>-</v>
      </c>
      <c r="I71" s="289" t="str">
        <f>IF(I69=0,"-",I70/I69)</f>
        <v>-</v>
      </c>
      <c r="J71" s="289" t="str">
        <f>IF(J69=0,"-",J70/J69)</f>
        <v>-</v>
      </c>
      <c r="K71" s="289" t="str">
        <f>IF(K69=0,"-",K70/K69)</f>
        <v>-</v>
      </c>
      <c r="L71" s="71"/>
      <c r="M71" s="10"/>
    </row>
    <row r="72" spans="1:16" hidden="1" x14ac:dyDescent="0.3">
      <c r="B72" s="258"/>
      <c r="C72" s="35"/>
      <c r="D72" s="35"/>
      <c r="E72" s="36"/>
      <c r="F72" s="36"/>
      <c r="G72" s="36"/>
      <c r="H72" s="36"/>
      <c r="I72" s="36"/>
      <c r="J72" s="36"/>
      <c r="K72" s="36"/>
      <c r="L72" s="17"/>
      <c r="M72" s="10"/>
      <c r="O72" s="18"/>
    </row>
    <row r="73" spans="1:16" hidden="1" x14ac:dyDescent="0.3">
      <c r="B73" s="258"/>
      <c r="C73" s="259"/>
      <c r="D73" s="35"/>
      <c r="G73" s="266">
        <f>G57</f>
        <v>2023</v>
      </c>
      <c r="H73" s="266">
        <f>H57</f>
        <v>2024</v>
      </c>
      <c r="I73" s="266">
        <f t="shared" ref="I73:K73" si="12">I57</f>
        <v>2025</v>
      </c>
      <c r="J73" s="266" t="str">
        <f t="shared" si="12"/>
        <v>Jan-Mar 2025</v>
      </c>
      <c r="K73" s="266" t="str">
        <f t="shared" si="12"/>
        <v>Jan-Mar 2026</v>
      </c>
      <c r="L73" s="71"/>
      <c r="M73" s="10"/>
      <c r="O73" s="18"/>
    </row>
    <row r="74" spans="1:16" s="262" customFormat="1" hidden="1" x14ac:dyDescent="0.3">
      <c r="A74" s="32"/>
      <c r="B74" s="740" t="str">
        <f>IF(Intro!$G$20="English",O74,P74)</f>
        <v>Imports in Canada</v>
      </c>
      <c r="C74" s="741"/>
      <c r="D74" s="741"/>
      <c r="E74" s="741"/>
      <c r="F74" s="741"/>
      <c r="G74" s="741"/>
      <c r="H74" s="741"/>
      <c r="I74" s="741"/>
      <c r="J74" s="741"/>
      <c r="K74" s="741"/>
      <c r="L74" s="71"/>
      <c r="O74" s="26" t="s">
        <v>233</v>
      </c>
      <c r="P74" s="262" t="s">
        <v>234</v>
      </c>
    </row>
    <row r="75" spans="1:16" hidden="1" x14ac:dyDescent="0.3">
      <c r="B75" s="540" t="str">
        <f>IF(Intro!$G$20="English",O75,P75)</f>
        <v>Imports</v>
      </c>
      <c r="C75" s="541"/>
      <c r="D75" s="799" t="str">
        <f>IF(Intro!$G$20="English",Variables!$B$23,Variables!$C$23)</f>
        <v>tonnes</v>
      </c>
      <c r="E75" s="799"/>
      <c r="F75" s="799"/>
      <c r="G75" s="137"/>
      <c r="H75" s="137"/>
      <c r="I75" s="137"/>
      <c r="J75" s="137"/>
      <c r="K75" s="131"/>
      <c r="L75" s="71"/>
      <c r="M75" s="10"/>
      <c r="O75" s="10" t="s">
        <v>91</v>
      </c>
      <c r="P75" s="10" t="s">
        <v>169</v>
      </c>
    </row>
    <row r="76" spans="1:16" hidden="1" x14ac:dyDescent="0.3">
      <c r="B76" s="540"/>
      <c r="C76" s="541"/>
      <c r="D76" s="799" t="str">
        <f>IF(Intro!G$20="English",O76,P76)</f>
        <v>net delivered purchase value (CAD)</v>
      </c>
      <c r="E76" s="799"/>
      <c r="F76" s="799"/>
      <c r="G76" s="137"/>
      <c r="H76" s="137"/>
      <c r="I76" s="137"/>
      <c r="J76" s="137"/>
      <c r="K76" s="131"/>
      <c r="L76" s="71"/>
      <c r="M76" s="10"/>
      <c r="O76" s="10" t="s">
        <v>342</v>
      </c>
      <c r="P76" s="10" t="s">
        <v>341</v>
      </c>
    </row>
    <row r="77" spans="1:16" hidden="1" x14ac:dyDescent="0.3">
      <c r="B77" s="540"/>
      <c r="C77" s="541"/>
      <c r="D77" s="799" t="str">
        <f>"$ / "&amp;IF(Intro!$G$20="English",Variables!$B$24,Variables!$C$24)</f>
        <v>$ / tonne</v>
      </c>
      <c r="E77" s="799"/>
      <c r="F77" s="799"/>
      <c r="G77" s="157" t="str">
        <f>IF(G75=0,"-",G76/G75)</f>
        <v>-</v>
      </c>
      <c r="H77" s="157" t="str">
        <f>IF(H75=0,"-",H76/H75)</f>
        <v>-</v>
      </c>
      <c r="I77" s="157" t="str">
        <f>IF(I75=0,"-",I76/I75)</f>
        <v>-</v>
      </c>
      <c r="J77" s="157" t="str">
        <f>IF(J75=0,"-",J76/J75)</f>
        <v>-</v>
      </c>
      <c r="K77" s="157" t="str">
        <f>IF(K75=0,"-",K76/K75)</f>
        <v>-</v>
      </c>
      <c r="L77" s="71"/>
      <c r="M77" s="10"/>
    </row>
    <row r="78" spans="1:16" s="262" customFormat="1" hidden="1" x14ac:dyDescent="0.3">
      <c r="A78" s="32"/>
      <c r="B78" s="803" t="str">
        <f>IF(Intro!$G$20="English",O78,P78)</f>
        <v>Sales in Canada</v>
      </c>
      <c r="C78" s="662"/>
      <c r="D78" s="662"/>
      <c r="E78" s="662"/>
      <c r="F78" s="662"/>
      <c r="G78" s="662"/>
      <c r="H78" s="662"/>
      <c r="I78" s="662"/>
      <c r="J78" s="662"/>
      <c r="K78" s="662"/>
      <c r="L78" s="71"/>
      <c r="O78" s="26" t="s">
        <v>235</v>
      </c>
      <c r="P78" s="262" t="s">
        <v>236</v>
      </c>
    </row>
    <row r="79" spans="1:16" hidden="1" x14ac:dyDescent="0.3">
      <c r="B79" s="540" t="str">
        <f>IF(Intro!$G$20="English",O79,P79)</f>
        <v>Sales to end users in Canada</v>
      </c>
      <c r="C79" s="541"/>
      <c r="D79" s="799" t="str">
        <f>D75</f>
        <v>tonnes</v>
      </c>
      <c r="E79" s="799"/>
      <c r="F79" s="799"/>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99" t="str">
        <f>IF(Intro!G$20="English",O80,P80)</f>
        <v>net delivered selling value (CAD)</v>
      </c>
      <c r="E80" s="799"/>
      <c r="F80" s="799"/>
      <c r="G80" s="137"/>
      <c r="H80" s="137"/>
      <c r="I80" s="137"/>
      <c r="J80" s="137"/>
      <c r="K80" s="131"/>
      <c r="L80" s="71"/>
      <c r="M80" s="10"/>
      <c r="O80" s="10" t="s">
        <v>344</v>
      </c>
      <c r="P80" s="10" t="s">
        <v>343</v>
      </c>
    </row>
    <row r="81" spans="1:16" ht="15" hidden="1" thickBot="1" x14ac:dyDescent="0.35">
      <c r="B81" s="752"/>
      <c r="C81" s="753"/>
      <c r="D81" s="797" t="str">
        <f>D77</f>
        <v>$ / tonne</v>
      </c>
      <c r="E81" s="797"/>
      <c r="F81" s="797"/>
      <c r="G81" s="157" t="str">
        <f>IF(G79=0,"-",G80/G79)</f>
        <v>-</v>
      </c>
      <c r="H81" s="157" t="str">
        <f>IF(H79=0,"-",H80/H79)</f>
        <v>-</v>
      </c>
      <c r="I81" s="157" t="str">
        <f>IF(I79=0,"-",I80/I79)</f>
        <v>-</v>
      </c>
      <c r="J81" s="157" t="str">
        <f t="shared" ref="J81:K81" si="13">IF(J79=0,"-",J80/J79)</f>
        <v>-</v>
      </c>
      <c r="K81" s="157" t="str">
        <f t="shared" si="13"/>
        <v>-</v>
      </c>
      <c r="L81" s="71"/>
      <c r="M81" s="10"/>
    </row>
    <row r="82" spans="1:16" hidden="1" x14ac:dyDescent="0.3">
      <c r="B82" s="754" t="str">
        <f>IF(Intro!$G$20="English",O82,P82)</f>
        <v>Sales to other in Canada</v>
      </c>
      <c r="C82" s="755"/>
      <c r="D82" s="798" t="str">
        <f t="shared" ref="D82:D84" si="14">D79</f>
        <v>tonnes</v>
      </c>
      <c r="E82" s="798"/>
      <c r="F82" s="798"/>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99" t="str">
        <f t="shared" si="14"/>
        <v>net delivered selling value (CAD)</v>
      </c>
      <c r="E83" s="799"/>
      <c r="F83" s="799"/>
      <c r="G83" s="137"/>
      <c r="H83" s="137"/>
      <c r="I83" s="137"/>
      <c r="J83" s="137"/>
      <c r="K83" s="131"/>
      <c r="L83" s="71"/>
      <c r="M83" s="10"/>
    </row>
    <row r="84" spans="1:16" ht="15" hidden="1" thickBot="1" x14ac:dyDescent="0.35">
      <c r="B84" s="752"/>
      <c r="C84" s="753"/>
      <c r="D84" s="797" t="str">
        <f t="shared" si="14"/>
        <v>$ / tonne</v>
      </c>
      <c r="E84" s="797"/>
      <c r="F84" s="797"/>
      <c r="G84" s="157" t="str">
        <f>IF(G82=0,"-",G83/G82)</f>
        <v>-</v>
      </c>
      <c r="H84" s="157" t="str">
        <f>IF(H82=0,"-",H83/H82)</f>
        <v>-</v>
      </c>
      <c r="I84" s="157" t="str">
        <f>IF(I82=0,"-",I83/I82)</f>
        <v>-</v>
      </c>
      <c r="J84" s="157" t="str">
        <f t="shared" ref="J84:K84" si="15">IF(J82=0,"-",J83/J82)</f>
        <v>-</v>
      </c>
      <c r="K84" s="157" t="str">
        <f t="shared" si="15"/>
        <v>-</v>
      </c>
      <c r="L84" s="71"/>
      <c r="M84" s="10"/>
    </row>
    <row r="85" spans="1:16" hidden="1" x14ac:dyDescent="0.3">
      <c r="B85" s="607" t="str">
        <f>IF(Intro!$G$20="English",O85,P85)</f>
        <v>Total sales in Canada</v>
      </c>
      <c r="C85" s="608"/>
      <c r="D85" s="749" t="str">
        <f>D82</f>
        <v>tonnes</v>
      </c>
      <c r="E85" s="749"/>
      <c r="F85" s="749"/>
      <c r="G85" s="139">
        <f t="shared" ref="G85:K85" si="16">G79+G82</f>
        <v>0</v>
      </c>
      <c r="H85" s="139">
        <f t="shared" si="16"/>
        <v>0</v>
      </c>
      <c r="I85" s="139">
        <f t="shared" si="16"/>
        <v>0</v>
      </c>
      <c r="J85" s="139">
        <f t="shared" si="16"/>
        <v>0</v>
      </c>
      <c r="K85" s="139">
        <f t="shared" si="16"/>
        <v>0</v>
      </c>
      <c r="L85" s="71"/>
      <c r="M85" s="10"/>
      <c r="O85" s="10" t="s">
        <v>345</v>
      </c>
      <c r="P85" s="10" t="s">
        <v>346</v>
      </c>
    </row>
    <row r="86" spans="1:16" hidden="1" x14ac:dyDescent="0.3">
      <c r="B86" s="596"/>
      <c r="C86" s="597"/>
      <c r="D86" s="771" t="str">
        <f>D83</f>
        <v>net delivered selling value (CAD)</v>
      </c>
      <c r="E86" s="771"/>
      <c r="F86" s="771"/>
      <c r="G86" s="138">
        <f t="shared" ref="G86:K86" si="17">G80+G83</f>
        <v>0</v>
      </c>
      <c r="H86" s="138">
        <f t="shared" si="17"/>
        <v>0</v>
      </c>
      <c r="I86" s="138">
        <f t="shared" si="17"/>
        <v>0</v>
      </c>
      <c r="J86" s="138">
        <f t="shared" si="17"/>
        <v>0</v>
      </c>
      <c r="K86" s="138">
        <f t="shared" si="17"/>
        <v>0</v>
      </c>
      <c r="L86" s="71"/>
      <c r="M86" s="10"/>
    </row>
    <row r="87" spans="1:16" hidden="1" x14ac:dyDescent="0.3">
      <c r="B87" s="596"/>
      <c r="C87" s="597"/>
      <c r="D87" s="771" t="str">
        <f>D84</f>
        <v>$ / tonne</v>
      </c>
      <c r="E87" s="771"/>
      <c r="F87" s="771"/>
      <c r="G87" s="157" t="str">
        <f>IF(G85=0,"-",G86/G85)</f>
        <v>-</v>
      </c>
      <c r="H87" s="157" t="str">
        <f>IF(H85=0,"-",H86/H85)</f>
        <v>-</v>
      </c>
      <c r="I87" s="157" t="str">
        <f>IF(I85=0,"-",I86/I85)</f>
        <v>-</v>
      </c>
      <c r="J87" s="157" t="str">
        <f t="shared" ref="J87:K87" si="18">IF(J85=0,"-",J86/J85)</f>
        <v>-</v>
      </c>
      <c r="K87" s="157" t="str">
        <f t="shared" si="18"/>
        <v>-</v>
      </c>
      <c r="L87" s="71"/>
      <c r="M87" s="10"/>
    </row>
    <row r="88" spans="1:16" hidden="1" x14ac:dyDescent="0.3">
      <c r="B88" s="72"/>
      <c r="C88" s="69"/>
      <c r="D88" s="69"/>
      <c r="E88" s="69"/>
      <c r="F88" s="69"/>
      <c r="G88" s="69"/>
      <c r="H88" s="69"/>
      <c r="I88" s="69"/>
      <c r="J88" s="69"/>
      <c r="K88" s="69"/>
      <c r="L88" s="70"/>
      <c r="M88" s="10"/>
    </row>
    <row r="89" spans="1:16" s="11" customFormat="1" x14ac:dyDescent="0.3">
      <c r="A89" s="7"/>
      <c r="B89" s="31"/>
      <c r="C89" s="90"/>
      <c r="D89" s="90"/>
      <c r="E89" s="91"/>
      <c r="F89" s="91"/>
      <c r="G89" s="91"/>
      <c r="H89" s="91"/>
      <c r="I89" s="91"/>
      <c r="J89" s="91"/>
      <c r="K89" s="91"/>
      <c r="L89" s="91"/>
      <c r="M89" s="73"/>
    </row>
    <row r="90" spans="1:16" x14ac:dyDescent="0.3">
      <c r="B90" s="506" t="str">
        <f>IF(Intro!$G$20="English",O90,P90)</f>
        <v>SALES IN CANADA OF IMPORTS TO THE TOP FIVE ACCOUNTS</v>
      </c>
      <c r="C90" s="507"/>
      <c r="D90" s="507"/>
      <c r="E90" s="507"/>
      <c r="F90" s="507"/>
      <c r="G90" s="507"/>
      <c r="H90" s="507"/>
      <c r="I90" s="507"/>
      <c r="J90" s="507"/>
      <c r="K90" s="507"/>
      <c r="L90" s="508"/>
      <c r="M90" s="10"/>
      <c r="O90" s="107" t="s">
        <v>334</v>
      </c>
      <c r="P90" s="107" t="s">
        <v>433</v>
      </c>
    </row>
    <row r="91" spans="1:16" s="11"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 xml:space="preserve">Report the volume and value of sales of imports in Canada for each account listed below : </v>
      </c>
      <c r="C93" s="504"/>
      <c r="D93" s="504"/>
      <c r="E93" s="504"/>
      <c r="F93" s="504"/>
      <c r="G93" s="504"/>
      <c r="H93" s="504"/>
      <c r="I93" s="504"/>
      <c r="J93" s="504"/>
      <c r="K93" s="504"/>
      <c r="L93" s="505"/>
      <c r="M93" s="10"/>
      <c r="O93" s="18" t="s">
        <v>171</v>
      </c>
      <c r="P93" s="10" t="s">
        <v>172</v>
      </c>
    </row>
    <row r="94" spans="1:16" x14ac:dyDescent="0.3">
      <c r="B94" s="503" t="str">
        <f>Pro!B22</f>
        <v>Note - Only complete this question if your firm sold the goods between January 1, 2023, and March 31, 2026.</v>
      </c>
      <c r="C94" s="504"/>
      <c r="D94" s="504"/>
      <c r="E94" s="504"/>
      <c r="F94" s="504"/>
      <c r="G94" s="504"/>
      <c r="H94" s="504"/>
      <c r="I94" s="504"/>
      <c r="J94" s="504"/>
      <c r="K94" s="504"/>
      <c r="L94" s="505"/>
      <c r="M94" s="10"/>
      <c r="O94" s="18"/>
    </row>
    <row r="95" spans="1:16" x14ac:dyDescent="0.3">
      <c r="B95" s="61"/>
      <c r="C95" s="35"/>
      <c r="D95" s="35"/>
      <c r="E95" s="36"/>
      <c r="F95" s="36"/>
      <c r="G95" s="36"/>
      <c r="H95" s="36"/>
      <c r="I95" s="36"/>
      <c r="J95" s="36"/>
      <c r="K95" s="36"/>
      <c r="L95" s="17"/>
      <c r="M95" s="10"/>
      <c r="O95" s="18"/>
    </row>
    <row r="96" spans="1:16" x14ac:dyDescent="0.3">
      <c r="B96" s="779"/>
      <c r="C96" s="780"/>
      <c r="D96" s="781"/>
      <c r="E96" s="129" t="str">
        <f>IF(Intro!$G$20="English","Q","T")&amp;IF(MID(F96,2,1)&lt;&gt;"1",MID(F96,2,1)-1&amp;" - "&amp;MID(F96,6,4),"4 - "&amp;MID(F96,6,4)-1)</f>
        <v>Q2 - 2024</v>
      </c>
      <c r="F96" s="129" t="str">
        <f>IF(Intro!$G$20="English","Q","T")&amp;IF(MID(G96,2,1)&lt;&gt;"1",MID(G96,2,1)-1&amp;" - "&amp;MID(G96,6,4),"4 - "&amp;MID(G96,6,4)-1)</f>
        <v>Q3 - 2024</v>
      </c>
      <c r="G96" s="129" t="str">
        <f>IF(Intro!$G$20="English","Q","T")&amp;IF(MID(H96,2,1)&lt;&gt;"1",MID(H96,2,1)-1&amp;" - "&amp;MID(H96,6,4),"4 - "&amp;MID(H96,6,4)-1)</f>
        <v>Q4 - 2024</v>
      </c>
      <c r="H96" s="129" t="str">
        <f>IF(Intro!$G$20="English","Q","T")&amp;IF(MID(I96,2,1)&lt;&gt;"1",MID(I96,2,1)-1&amp;" - "&amp;MID(I96,6,4),"4 - "&amp;MID(I96,6,4)-1)</f>
        <v>Q1 - 2025</v>
      </c>
      <c r="I96" s="129" t="str">
        <f>IF(Intro!$G$20="English","Q","T")&amp;IF(MID(J96,2,1)&lt;&gt;"1",MID(J96,2,1)-1&amp;" - "&amp;MID(J96,6,4),"4 - "&amp;MID(J96,6,4)-1)</f>
        <v>Q2 - 2025</v>
      </c>
      <c r="J96" s="129" t="str">
        <f>IF(Intro!$G$20="English","Q","T")&amp;IF(MID(K96,2,1)&lt;&gt;"1",MID(K96,2,1)-1&amp;" - "&amp;MID(K96,6,4),"4 - "&amp;MID(K96,6,4)-1)</f>
        <v>Q3 - 2025</v>
      </c>
      <c r="K96" s="129" t="str">
        <f>IF(Intro!$G$20="English","Q","T")&amp;IF(MID(L96,2,1)&lt;&gt;"1",MID(L96,2,1)-1&amp;" - "&amp;MID(L96,6,4),"4 - "&amp;MID(L96,6,4)-1)</f>
        <v>Q4 - 2025</v>
      </c>
      <c r="L96" s="140" t="str">
        <f>IF(Intro!$G$20="English",Variables!B29&amp;" - ",Variables!C29&amp;" - ")&amp;Variables!B8</f>
        <v>Q1 - 2026</v>
      </c>
      <c r="M96" s="10"/>
      <c r="O96" s="18"/>
    </row>
    <row r="97" spans="2:16" x14ac:dyDescent="0.3">
      <c r="B97" s="766" t="str">
        <f>IF(Intro!$G$20="English",O97,P97)</f>
        <v xml:space="preserve">Account 1 - </v>
      </c>
      <c r="C97" s="767"/>
      <c r="D97" s="767"/>
      <c r="E97" s="767"/>
      <c r="F97" s="767"/>
      <c r="G97" s="767"/>
      <c r="H97" s="767"/>
      <c r="I97" s="767"/>
      <c r="J97" s="767"/>
      <c r="K97" s="767"/>
      <c r="L97" s="768"/>
      <c r="M97" s="10"/>
      <c r="O97" s="10" t="str">
        <f>"Account 1 - "&amp;Pro!C119</f>
        <v xml:space="preserve">Account 1 - </v>
      </c>
      <c r="P97" s="10" t="str">
        <f>"Client 1 - "&amp;Pro!C119</f>
        <v xml:space="preserve">Client 1 - </v>
      </c>
    </row>
    <row r="98" spans="2:16" x14ac:dyDescent="0.3">
      <c r="B98" s="735" t="str">
        <f>IF(Intro!$G$20="English",Variables!$B$23,Variables!$C$23)</f>
        <v>tonnes</v>
      </c>
      <c r="C98" s="736"/>
      <c r="D98" s="736"/>
      <c r="E98" s="141"/>
      <c r="F98" s="141"/>
      <c r="G98" s="141"/>
      <c r="H98" s="141"/>
      <c r="I98" s="141"/>
      <c r="J98" s="141"/>
      <c r="K98" s="141"/>
      <c r="L98" s="142"/>
      <c r="M98" s="10"/>
    </row>
    <row r="99" spans="2:16" x14ac:dyDescent="0.3">
      <c r="B99" s="735" t="str">
        <f>IF(Intro!G$20="English","net delivered selling value (CAD)","valeur de vente nette rendue (CAD)")</f>
        <v>net delivered selling value (CAD)</v>
      </c>
      <c r="C99" s="736"/>
      <c r="D99" s="736"/>
      <c r="E99" s="141"/>
      <c r="F99" s="141"/>
      <c r="G99" s="141"/>
      <c r="H99" s="141"/>
      <c r="I99" s="141"/>
      <c r="J99" s="141"/>
      <c r="K99" s="141"/>
      <c r="L99" s="142"/>
      <c r="M99" s="10"/>
    </row>
    <row r="100" spans="2:16" x14ac:dyDescent="0.3">
      <c r="B100" s="735" t="str">
        <f>"$ / "&amp;IF(Intro!$G$20="English",Variables!$B$24,Variables!$C$24)</f>
        <v>$ / tonne</v>
      </c>
      <c r="C100" s="736"/>
      <c r="D100" s="736"/>
      <c r="E100" s="289" t="str">
        <f t="shared" ref="E100:L100" si="19">IF(E98=0,"-",E99/E98)</f>
        <v>-</v>
      </c>
      <c r="F100" s="289" t="str">
        <f t="shared" si="19"/>
        <v>-</v>
      </c>
      <c r="G100" s="289" t="str">
        <f t="shared" si="19"/>
        <v>-</v>
      </c>
      <c r="H100" s="289" t="str">
        <f t="shared" si="19"/>
        <v>-</v>
      </c>
      <c r="I100" s="289" t="str">
        <f t="shared" si="19"/>
        <v>-</v>
      </c>
      <c r="J100" s="289" t="str">
        <f t="shared" si="19"/>
        <v>-</v>
      </c>
      <c r="K100" s="289" t="str">
        <f t="shared" si="19"/>
        <v>-</v>
      </c>
      <c r="L100" s="290" t="str">
        <f t="shared" si="19"/>
        <v>-</v>
      </c>
      <c r="M100" s="10"/>
    </row>
    <row r="101" spans="2:16" x14ac:dyDescent="0.3">
      <c r="B101" s="766" t="str">
        <f>IF(Intro!$G$20="English",O101,P101)</f>
        <v xml:space="preserve">Account 2 - </v>
      </c>
      <c r="C101" s="767"/>
      <c r="D101" s="767"/>
      <c r="E101" s="767"/>
      <c r="F101" s="767"/>
      <c r="G101" s="767"/>
      <c r="H101" s="767"/>
      <c r="I101" s="767"/>
      <c r="J101" s="767"/>
      <c r="K101" s="767"/>
      <c r="L101" s="768"/>
      <c r="M101" s="10"/>
      <c r="O101" s="10" t="str">
        <f>"Account 2 - "&amp;Pro!C120</f>
        <v xml:space="preserve">Account 2 - </v>
      </c>
      <c r="P101" s="10" t="str">
        <f>"Client 2 - "&amp;Pro!C120</f>
        <v xml:space="preserve">Client 2 - </v>
      </c>
    </row>
    <row r="102" spans="2:16" x14ac:dyDescent="0.3">
      <c r="B102" s="735" t="str">
        <f>IF(Intro!$G$20="English",Variables!$B$23,Variables!$C$23)</f>
        <v>tonnes</v>
      </c>
      <c r="C102" s="736"/>
      <c r="D102" s="736"/>
      <c r="E102" s="141"/>
      <c r="F102" s="141"/>
      <c r="G102" s="141"/>
      <c r="H102" s="141"/>
      <c r="I102" s="141"/>
      <c r="J102" s="141"/>
      <c r="K102" s="141"/>
      <c r="L102" s="142"/>
      <c r="M102" s="10"/>
    </row>
    <row r="103" spans="2:16" x14ac:dyDescent="0.3">
      <c r="B103" s="735" t="str">
        <f>IF(Intro!G$20="English","net delivered selling value (CAD)","valeur de vente nette rendue (CAD)")</f>
        <v>net delivered selling value (CAD)</v>
      </c>
      <c r="C103" s="736"/>
      <c r="D103" s="736"/>
      <c r="E103" s="141"/>
      <c r="F103" s="141"/>
      <c r="G103" s="141"/>
      <c r="H103" s="141"/>
      <c r="I103" s="141"/>
      <c r="J103" s="141"/>
      <c r="K103" s="141"/>
      <c r="L103" s="142"/>
      <c r="M103" s="10"/>
    </row>
    <row r="104" spans="2:16" x14ac:dyDescent="0.3">
      <c r="B104" s="735" t="str">
        <f>"$ / "&amp;IF(Intro!$G$20="English",Variables!$B$24,Variables!$C$24)</f>
        <v>$ / tonne</v>
      </c>
      <c r="C104" s="736"/>
      <c r="D104" s="736"/>
      <c r="E104" s="289" t="str">
        <f t="shared" ref="E104:L104" si="20">IF(E102=0,"-",E103/E102)</f>
        <v>-</v>
      </c>
      <c r="F104" s="289" t="str">
        <f t="shared" si="20"/>
        <v>-</v>
      </c>
      <c r="G104" s="289" t="str">
        <f t="shared" si="20"/>
        <v>-</v>
      </c>
      <c r="H104" s="289" t="str">
        <f t="shared" si="20"/>
        <v>-</v>
      </c>
      <c r="I104" s="289" t="str">
        <f t="shared" si="20"/>
        <v>-</v>
      </c>
      <c r="J104" s="289" t="str">
        <f t="shared" si="20"/>
        <v>-</v>
      </c>
      <c r="K104" s="289" t="str">
        <f t="shared" si="20"/>
        <v>-</v>
      </c>
      <c r="L104" s="290" t="str">
        <f t="shared" si="20"/>
        <v>-</v>
      </c>
      <c r="M104" s="10"/>
    </row>
    <row r="105" spans="2:16" x14ac:dyDescent="0.3">
      <c r="B105" s="766" t="str">
        <f>IF(Intro!$G$20="English",O105,P105)</f>
        <v xml:space="preserve">Account 3 - </v>
      </c>
      <c r="C105" s="767"/>
      <c r="D105" s="767"/>
      <c r="E105" s="767"/>
      <c r="F105" s="767"/>
      <c r="G105" s="767"/>
      <c r="H105" s="767"/>
      <c r="I105" s="767"/>
      <c r="J105" s="767"/>
      <c r="K105" s="767"/>
      <c r="L105" s="768"/>
      <c r="M105" s="10"/>
      <c r="O105" s="10" t="str">
        <f>"Account 3 - "&amp;Pro!C121</f>
        <v xml:space="preserve">Account 3 - </v>
      </c>
      <c r="P105" s="10" t="str">
        <f>"Client 3 - "&amp;Pro!C121</f>
        <v xml:space="preserve">Client 3 - </v>
      </c>
    </row>
    <row r="106" spans="2:16" x14ac:dyDescent="0.3">
      <c r="B106" s="735" t="str">
        <f>IF(Intro!$G$20="English",Variables!$B$23,Variables!$C$23)</f>
        <v>tonnes</v>
      </c>
      <c r="C106" s="736"/>
      <c r="D106" s="736"/>
      <c r="E106" s="141"/>
      <c r="F106" s="141"/>
      <c r="G106" s="141"/>
      <c r="H106" s="141"/>
      <c r="I106" s="141"/>
      <c r="J106" s="141"/>
      <c r="K106" s="141"/>
      <c r="L106" s="142"/>
      <c r="M106" s="10"/>
    </row>
    <row r="107" spans="2:16" x14ac:dyDescent="0.3">
      <c r="B107" s="735" t="str">
        <f>IF(Intro!G$20="English","net delivered selling value (CAD)","valeur de vente nette rendue (CAD)")</f>
        <v>net delivered selling value (CAD)</v>
      </c>
      <c r="C107" s="736"/>
      <c r="D107" s="736"/>
      <c r="E107" s="141"/>
      <c r="F107" s="141"/>
      <c r="G107" s="141"/>
      <c r="H107" s="141"/>
      <c r="I107" s="141"/>
      <c r="J107" s="141"/>
      <c r="K107" s="141"/>
      <c r="L107" s="142"/>
      <c r="M107" s="10"/>
    </row>
    <row r="108" spans="2:16" x14ac:dyDescent="0.3">
      <c r="B108" s="735" t="str">
        <f>"$ / "&amp;IF(Intro!$G$20="English",Variables!$B$24,Variables!$C$24)</f>
        <v>$ / tonne</v>
      </c>
      <c r="C108" s="736"/>
      <c r="D108" s="736"/>
      <c r="E108" s="289" t="str">
        <f t="shared" ref="E108:L108" si="21">IF(E106=0,"-",E107/E106)</f>
        <v>-</v>
      </c>
      <c r="F108" s="289" t="str">
        <f t="shared" si="21"/>
        <v>-</v>
      </c>
      <c r="G108" s="289" t="str">
        <f t="shared" si="21"/>
        <v>-</v>
      </c>
      <c r="H108" s="289" t="str">
        <f t="shared" si="21"/>
        <v>-</v>
      </c>
      <c r="I108" s="289" t="str">
        <f t="shared" si="21"/>
        <v>-</v>
      </c>
      <c r="J108" s="289" t="str">
        <f t="shared" si="21"/>
        <v>-</v>
      </c>
      <c r="K108" s="289" t="str">
        <f t="shared" si="21"/>
        <v>-</v>
      </c>
      <c r="L108" s="290" t="str">
        <f t="shared" si="21"/>
        <v>-</v>
      </c>
      <c r="M108" s="10"/>
    </row>
    <row r="109" spans="2:16" x14ac:dyDescent="0.3">
      <c r="B109" s="766" t="str">
        <f>IF(Intro!$G$20="English",O109,P109)</f>
        <v xml:space="preserve">Account 4 - </v>
      </c>
      <c r="C109" s="767"/>
      <c r="D109" s="767"/>
      <c r="E109" s="767"/>
      <c r="F109" s="767"/>
      <c r="G109" s="767"/>
      <c r="H109" s="767"/>
      <c r="I109" s="767"/>
      <c r="J109" s="767"/>
      <c r="K109" s="767"/>
      <c r="L109" s="768"/>
      <c r="M109" s="10"/>
      <c r="O109" s="10" t="str">
        <f>"Account 4 - "&amp;Pro!C122</f>
        <v xml:space="preserve">Account 4 - </v>
      </c>
      <c r="P109" s="10" t="str">
        <f>"Client 4 - "&amp;Pro!C122</f>
        <v xml:space="preserve">Client 4 - </v>
      </c>
    </row>
    <row r="110" spans="2:16" x14ac:dyDescent="0.3">
      <c r="B110" s="735" t="str">
        <f>IF(Intro!$G$20="English",Variables!$B$23,Variables!$C$23)</f>
        <v>tonnes</v>
      </c>
      <c r="C110" s="736"/>
      <c r="D110" s="736"/>
      <c r="E110" s="141"/>
      <c r="F110" s="141"/>
      <c r="G110" s="141"/>
      <c r="H110" s="141"/>
      <c r="I110" s="141"/>
      <c r="J110" s="141"/>
      <c r="K110" s="141"/>
      <c r="L110" s="142"/>
      <c r="M110" s="10"/>
    </row>
    <row r="111" spans="2:16" x14ac:dyDescent="0.3">
      <c r="B111" s="735" t="str">
        <f>IF(Intro!G$20="English","net delivered selling value (CAD)","valeur de vente nette rendue (CAD)")</f>
        <v>net delivered selling value (CAD)</v>
      </c>
      <c r="C111" s="736"/>
      <c r="D111" s="736"/>
      <c r="E111" s="141"/>
      <c r="F111" s="141"/>
      <c r="G111" s="141"/>
      <c r="H111" s="141"/>
      <c r="I111" s="141"/>
      <c r="J111" s="141"/>
      <c r="K111" s="141"/>
      <c r="L111" s="142"/>
      <c r="M111" s="10"/>
    </row>
    <row r="112" spans="2:16" x14ac:dyDescent="0.3">
      <c r="B112" s="735" t="str">
        <f>"$ / "&amp;IF(Intro!$G$20="English",Variables!$B$24,Variables!$C$24)</f>
        <v>$ / tonne</v>
      </c>
      <c r="C112" s="736"/>
      <c r="D112" s="736"/>
      <c r="E112" s="289" t="str">
        <f t="shared" ref="E112:L112" si="22">IF(E110=0,"-",E111/E110)</f>
        <v>-</v>
      </c>
      <c r="F112" s="289" t="str">
        <f t="shared" si="22"/>
        <v>-</v>
      </c>
      <c r="G112" s="289" t="str">
        <f t="shared" si="22"/>
        <v>-</v>
      </c>
      <c r="H112" s="289" t="str">
        <f t="shared" si="22"/>
        <v>-</v>
      </c>
      <c r="I112" s="289" t="str">
        <f t="shared" si="22"/>
        <v>-</v>
      </c>
      <c r="J112" s="289" t="str">
        <f t="shared" si="22"/>
        <v>-</v>
      </c>
      <c r="K112" s="289" t="str">
        <f t="shared" si="22"/>
        <v>-</v>
      </c>
      <c r="L112" s="290" t="str">
        <f t="shared" si="22"/>
        <v>-</v>
      </c>
      <c r="M112" s="10"/>
    </row>
    <row r="113" spans="2:19" x14ac:dyDescent="0.3">
      <c r="B113" s="766" t="str">
        <f>IF(Intro!$G$20="English",O113,P113)</f>
        <v xml:space="preserve">Account 5 - </v>
      </c>
      <c r="C113" s="767"/>
      <c r="D113" s="767"/>
      <c r="E113" s="767"/>
      <c r="F113" s="767"/>
      <c r="G113" s="767"/>
      <c r="H113" s="767"/>
      <c r="I113" s="767"/>
      <c r="J113" s="767"/>
      <c r="K113" s="767"/>
      <c r="L113" s="768"/>
      <c r="M113" s="10"/>
      <c r="O113" s="10" t="str">
        <f>"Account 5 - "&amp;Pro!C123</f>
        <v xml:space="preserve">Account 5 - </v>
      </c>
      <c r="P113" s="10" t="str">
        <f>"Client 5 - "&amp;Pro!C123</f>
        <v xml:space="preserve">Client 5 - </v>
      </c>
    </row>
    <row r="114" spans="2:19" x14ac:dyDescent="0.3">
      <c r="B114" s="735" t="str">
        <f>IF(Intro!$G$20="English",Variables!$B$23,Variables!$C$23)</f>
        <v>tonnes</v>
      </c>
      <c r="C114" s="736"/>
      <c r="D114" s="736"/>
      <c r="E114" s="141"/>
      <c r="F114" s="141"/>
      <c r="G114" s="141"/>
      <c r="H114" s="141"/>
      <c r="I114" s="141"/>
      <c r="J114" s="141"/>
      <c r="K114" s="141"/>
      <c r="L114" s="142"/>
      <c r="M114" s="10"/>
    </row>
    <row r="115" spans="2:19" x14ac:dyDescent="0.3">
      <c r="B115" s="735" t="str">
        <f>IF(Intro!G$20="English","net delivered selling value (CAD)","valeur de vente nette rendue (CAD)")</f>
        <v>net delivered selling value (CAD)</v>
      </c>
      <c r="C115" s="736"/>
      <c r="D115" s="736"/>
      <c r="E115" s="141"/>
      <c r="F115" s="141"/>
      <c r="G115" s="141"/>
      <c r="H115" s="141"/>
      <c r="I115" s="141"/>
      <c r="J115" s="141"/>
      <c r="K115" s="141"/>
      <c r="L115" s="142"/>
      <c r="M115" s="10"/>
    </row>
    <row r="116" spans="2:19" x14ac:dyDescent="0.3">
      <c r="B116" s="735" t="str">
        <f>"$ / "&amp;IF(Intro!$G$20="English",Variables!$B$24,Variables!$C$24)</f>
        <v>$ / tonne</v>
      </c>
      <c r="C116" s="736"/>
      <c r="D116" s="736"/>
      <c r="E116" s="289" t="str">
        <f t="shared" ref="E116:L116" si="23">IF(E114=0,"-",E115/E114)</f>
        <v>-</v>
      </c>
      <c r="F116" s="289" t="str">
        <f t="shared" si="23"/>
        <v>-</v>
      </c>
      <c r="G116" s="289" t="str">
        <f t="shared" si="23"/>
        <v>-</v>
      </c>
      <c r="H116" s="289" t="str">
        <f t="shared" si="23"/>
        <v>-</v>
      </c>
      <c r="I116" s="289" t="str">
        <f t="shared" si="23"/>
        <v>-</v>
      </c>
      <c r="J116" s="289" t="str">
        <f t="shared" si="23"/>
        <v>-</v>
      </c>
      <c r="K116" s="289" t="str">
        <f t="shared" si="23"/>
        <v>-</v>
      </c>
      <c r="L116" s="290" t="str">
        <f t="shared" si="23"/>
        <v>-</v>
      </c>
      <c r="M116" s="10"/>
    </row>
    <row r="117" spans="2:19" x14ac:dyDescent="0.3">
      <c r="B117" s="766" t="str">
        <f>IF(Intro!$G$20="English",O117,P117)</f>
        <v xml:space="preserve">Account 5 - </v>
      </c>
      <c r="C117" s="767"/>
      <c r="D117" s="767"/>
      <c r="E117" s="767"/>
      <c r="F117" s="767"/>
      <c r="G117" s="767"/>
      <c r="H117" s="767"/>
      <c r="I117" s="767"/>
      <c r="J117" s="767"/>
      <c r="K117" s="767"/>
      <c r="L117" s="768"/>
      <c r="M117" s="10"/>
      <c r="O117" s="10" t="str">
        <f>"Account 5 - "&amp;Pro!C128</f>
        <v xml:space="preserve">Account 5 - </v>
      </c>
      <c r="P117" s="10" t="str">
        <f>"Client 5 - "&amp;Pro!C128</f>
        <v xml:space="preserve">Client 5 - </v>
      </c>
    </row>
    <row r="118" spans="2:19" x14ac:dyDescent="0.3">
      <c r="B118" s="735" t="str">
        <f>IF(Intro!$G$20="English",Variables!$B$23,Variables!$C$23)</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IF(Intro!G$20="English","net delivered selling value (CAD)","valeur de vente nette rendue (CAD)")</f>
        <v>net delivered selling value (CAD)</v>
      </c>
      <c r="C119" s="736"/>
      <c r="D119" s="736"/>
      <c r="E119" s="141"/>
      <c r="F119" s="141"/>
      <c r="G119" s="141"/>
      <c r="H119" s="141"/>
      <c r="I119" s="141"/>
      <c r="J119" s="141"/>
      <c r="K119" s="141"/>
      <c r="L119" s="142"/>
      <c r="M119" s="10"/>
    </row>
    <row r="120" spans="2:19" x14ac:dyDescent="0.3">
      <c r="B120" s="735" t="str">
        <f>"$ / "&amp;IF(Intro!$G$20="English",Variables!$B$24,Variables!$C$24)</f>
        <v>$ / tonne</v>
      </c>
      <c r="C120" s="736"/>
      <c r="D120" s="736"/>
      <c r="E120" s="289" t="str">
        <f t="shared" ref="E120:L120" si="24">IF(E118=0,"-",E119/E118)</f>
        <v>-</v>
      </c>
      <c r="F120" s="289" t="str">
        <f t="shared" si="24"/>
        <v>-</v>
      </c>
      <c r="G120" s="289" t="str">
        <f t="shared" si="24"/>
        <v>-</v>
      </c>
      <c r="H120" s="289" t="str">
        <f t="shared" si="24"/>
        <v>-</v>
      </c>
      <c r="I120" s="289" t="str">
        <f t="shared" si="24"/>
        <v>-</v>
      </c>
      <c r="J120" s="289" t="str">
        <f t="shared" si="24"/>
        <v>-</v>
      </c>
      <c r="K120" s="289" t="str">
        <f t="shared" si="24"/>
        <v>-</v>
      </c>
      <c r="L120" s="290" t="str">
        <f t="shared" si="24"/>
        <v>-</v>
      </c>
      <c r="M120" s="10"/>
    </row>
    <row r="121" spans="2:19" x14ac:dyDescent="0.3">
      <c r="B121" s="115"/>
      <c r="C121" s="116"/>
      <c r="D121" s="116"/>
      <c r="E121" s="29"/>
      <c r="F121" s="29"/>
      <c r="G121" s="29"/>
      <c r="H121" s="29"/>
      <c r="I121" s="29"/>
      <c r="J121" s="29"/>
      <c r="K121" s="29"/>
      <c r="L121" s="30"/>
      <c r="M121" s="10"/>
    </row>
    <row r="122" spans="2:19" x14ac:dyDescent="0.3">
      <c r="B122" s="500" t="str">
        <f>IF(Intro!$G$20="English",O122,P122)</f>
        <v>In the table below, “Error” means that the total sales to your firm’s top five accounts for that period exceed your firm’s total import sales for that period. Therefore, please modify the above data if necessary.</v>
      </c>
      <c r="C122" s="501"/>
      <c r="D122" s="501"/>
      <c r="E122" s="501"/>
      <c r="F122" s="501"/>
      <c r="G122" s="501"/>
      <c r="H122" s="501"/>
      <c r="I122" s="501"/>
      <c r="J122" s="501"/>
      <c r="K122" s="501"/>
      <c r="L122" s="502"/>
      <c r="M122" s="10"/>
      <c r="O122" s="38" t="s">
        <v>364</v>
      </c>
      <c r="P122" s="38" t="s">
        <v>365</v>
      </c>
      <c r="Q122" s="38"/>
      <c r="R122" s="38"/>
      <c r="S122" s="38"/>
    </row>
    <row r="123" spans="2:19" x14ac:dyDescent="0.3">
      <c r="B123" s="500"/>
      <c r="C123" s="501"/>
      <c r="D123" s="501"/>
      <c r="E123" s="501"/>
      <c r="F123" s="501"/>
      <c r="G123" s="501"/>
      <c r="H123" s="501"/>
      <c r="I123" s="501"/>
      <c r="J123" s="501"/>
      <c r="K123" s="501"/>
      <c r="L123" s="502"/>
      <c r="M123" s="10"/>
      <c r="O123" s="38"/>
      <c r="P123" s="38"/>
      <c r="Q123" s="38"/>
      <c r="R123" s="38"/>
      <c r="S123" s="38"/>
    </row>
    <row r="124" spans="2:19" x14ac:dyDescent="0.3">
      <c r="B124" s="61"/>
      <c r="C124" s="62"/>
      <c r="D124" s="62"/>
      <c r="E124" s="29"/>
      <c r="F124" s="29"/>
      <c r="G124" s="29"/>
      <c r="H124" s="29"/>
      <c r="I124" s="29"/>
      <c r="J124" s="29"/>
      <c r="K124" s="29"/>
      <c r="L124" s="30"/>
      <c r="M124" s="10"/>
      <c r="O124" s="38"/>
      <c r="P124" s="38"/>
      <c r="Q124" s="38"/>
      <c r="R124" s="38"/>
      <c r="S124" s="38"/>
    </row>
    <row r="125" spans="2:19" ht="14.1" customHeight="1" x14ac:dyDescent="0.3">
      <c r="B125" s="756" t="str">
        <f>Variables!D62</f>
        <v>Verification - volume</v>
      </c>
      <c r="C125" s="617"/>
      <c r="D125" s="617"/>
      <c r="E125" s="617"/>
      <c r="F125" s="618"/>
      <c r="G125" s="221">
        <f>H125-1</f>
        <v>2024</v>
      </c>
      <c r="H125" s="221">
        <f>Variables!B8-1</f>
        <v>2025</v>
      </c>
      <c r="I125" s="221" t="str">
        <f>L96</f>
        <v>Q1 - 2026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Okay</v>
      </c>
      <c r="H126" s="232" t="str">
        <f>IF(SUM(H98:K98,H102:K102,H106:K106,H110:K110,H114:K114)&gt;SUM(I37,I53,I69),Variables!$D$63,Variables!$D$64)</f>
        <v>Okay</v>
      </c>
      <c r="I126" s="232" t="str">
        <f>IF(SUM(L98,L102,L106,L110,L114)&gt;SUM(K37,K53,K69),Variables!$D$63,Variables!$D$64)</f>
        <v>Okay</v>
      </c>
      <c r="J126" s="291"/>
      <c r="K126" s="291"/>
      <c r="L126" s="292"/>
      <c r="M126" s="10"/>
    </row>
    <row r="127" spans="2:19" ht="14.1" customHeight="1" x14ac:dyDescent="0.3">
      <c r="B127" s="757" t="str">
        <f>IF(Intro!$G$20="English",O127,P127)</f>
        <v>volume - total sales in Canada of imports to the top five accounts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sales in Canada of imports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Verification - value</v>
      </c>
      <c r="C129" s="764"/>
      <c r="D129" s="764"/>
      <c r="E129" s="764"/>
      <c r="F129" s="765"/>
      <c r="G129" s="221">
        <f>G125</f>
        <v>2024</v>
      </c>
      <c r="H129" s="221">
        <f>H125</f>
        <v>2025</v>
      </c>
      <c r="I129" s="221" t="str">
        <f>I125</f>
        <v>Q1 - 2026</v>
      </c>
      <c r="J129" s="291"/>
      <c r="K129" s="291"/>
      <c r="L129" s="292"/>
      <c r="M129" s="10"/>
    </row>
    <row r="130" spans="1:16" ht="14.1" customHeight="1" x14ac:dyDescent="0.3">
      <c r="B130" s="788" t="str">
        <f>D32</f>
        <v>net delivered selling value (CAD)</v>
      </c>
      <c r="C130" s="789"/>
      <c r="D130" s="789"/>
      <c r="E130" s="789"/>
      <c r="F130" s="790"/>
      <c r="G130" s="232" t="str">
        <f>IF(SUM(E99:G99,E103:G103,E107:G107,E111:G111,E115:G115)&gt;SUM(H38,H54,H70),Variables!$D$63,Variables!$D$64)</f>
        <v>Okay</v>
      </c>
      <c r="H130" s="232" t="str">
        <f>IF(SUM(H99:K99,H103:K103,H107:K107,H111:K111,H115:K115)&gt;SUM(I38,I54,I70),Variables!$D$63,Variables!$D$64)</f>
        <v>Okay</v>
      </c>
      <c r="I130" s="232" t="str">
        <f>IF(SUM(L99,L103,L107,L111,L115)&gt;SUM(K38,K54,K70),Variables!$D$63,Variables!$D$64)</f>
        <v>Okay</v>
      </c>
      <c r="J130" s="291"/>
      <c r="K130" s="291"/>
      <c r="L130" s="292"/>
      <c r="M130" s="10"/>
    </row>
    <row r="131" spans="1:16" ht="14.1" customHeight="1" x14ac:dyDescent="0.3">
      <c r="B131" s="791" t="str">
        <f>IF(Intro!$G$20="English",O131,P131)</f>
        <v>value - total sales in Canada of imports to the top five accounts (Question 2)</v>
      </c>
      <c r="C131" s="792"/>
      <c r="D131" s="792"/>
      <c r="E131" s="792"/>
      <c r="F131" s="793"/>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1" t="str">
        <f>IF(Intro!$G$20="English",O132,P132)</f>
        <v>value - total sales in Canada of imports (Question 1)</v>
      </c>
      <c r="C132" s="792"/>
      <c r="D132" s="792"/>
      <c r="E132" s="792"/>
      <c r="F132" s="793"/>
      <c r="G132" s="232">
        <f>H38</f>
        <v>0</v>
      </c>
      <c r="H132" s="232">
        <f>I38</f>
        <v>0</v>
      </c>
      <c r="I132" s="232">
        <f>K38</f>
        <v>0</v>
      </c>
      <c r="J132" s="291"/>
      <c r="K132" s="291"/>
      <c r="L132" s="292"/>
      <c r="M132" s="10"/>
      <c r="O132" s="10" t="s">
        <v>505</v>
      </c>
      <c r="P132" s="10" t="s">
        <v>503</v>
      </c>
    </row>
    <row r="133" spans="1:16" x14ac:dyDescent="0.3">
      <c r="B133" s="72"/>
      <c r="C133" s="69"/>
      <c r="D133" s="69"/>
      <c r="E133" s="69"/>
      <c r="F133" s="69"/>
      <c r="G133" s="69"/>
      <c r="H133" s="69"/>
      <c r="I133" s="69"/>
      <c r="J133" s="69"/>
      <c r="K133" s="69"/>
      <c r="L133" s="70"/>
      <c r="M133" s="10"/>
    </row>
    <row r="134" spans="1:16" s="11" customFormat="1" x14ac:dyDescent="0.3">
      <c r="A134" s="7"/>
      <c r="B134" s="31"/>
      <c r="C134" s="90"/>
      <c r="D134" s="90"/>
      <c r="E134" s="91"/>
      <c r="F134" s="91"/>
      <c r="G134" s="91"/>
      <c r="H134" s="91"/>
      <c r="I134" s="91"/>
      <c r="J134" s="91"/>
      <c r="K134" s="91"/>
      <c r="L134" s="91"/>
      <c r="M134" s="73"/>
    </row>
    <row r="135" spans="1:16" x14ac:dyDescent="0.3">
      <c r="B135" s="506" t="str">
        <f>IF(Intro!$G$20="English",O135,P135)</f>
        <v>IMPORTS OF BENCHMARK PRODUCTS</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 xml:space="preserve">Report the volume and value of imports for each benchmark product listed below : </v>
      </c>
      <c r="C138" s="504"/>
      <c r="D138" s="504"/>
      <c r="E138" s="504"/>
      <c r="F138" s="504"/>
      <c r="G138" s="504"/>
      <c r="H138" s="504"/>
      <c r="I138" s="504"/>
      <c r="J138" s="504"/>
      <c r="K138" s="504"/>
      <c r="L138" s="505"/>
      <c r="M138" s="10"/>
      <c r="O138" s="18" t="s">
        <v>191</v>
      </c>
      <c r="P138" s="10" t="s">
        <v>192</v>
      </c>
    </row>
    <row r="139" spans="1:16" x14ac:dyDescent="0.3">
      <c r="B139" s="61"/>
      <c r="C139" s="35"/>
      <c r="D139" s="35"/>
      <c r="E139" s="36"/>
      <c r="F139" s="36"/>
      <c r="G139" s="36"/>
      <c r="H139" s="36"/>
      <c r="I139" s="36"/>
      <c r="J139" s="36"/>
      <c r="K139" s="36"/>
      <c r="L139" s="17"/>
      <c r="M139" s="10"/>
      <c r="O139" s="18"/>
    </row>
    <row r="140" spans="1:16" x14ac:dyDescent="0.3">
      <c r="B140" s="779"/>
      <c r="C140" s="780"/>
      <c r="D140" s="781"/>
      <c r="E140" s="129" t="str">
        <f t="shared" ref="E140:L140" si="25">E96</f>
        <v>Q2 - 2024</v>
      </c>
      <c r="F140" s="129" t="str">
        <f t="shared" si="25"/>
        <v>Q3 - 2024</v>
      </c>
      <c r="G140" s="129" t="str">
        <f t="shared" si="25"/>
        <v>Q4 - 2024</v>
      </c>
      <c r="H140" s="129" t="str">
        <f t="shared" si="25"/>
        <v>Q1 - 2025</v>
      </c>
      <c r="I140" s="129" t="str">
        <f t="shared" si="25"/>
        <v>Q2 - 2025</v>
      </c>
      <c r="J140" s="129" t="str">
        <f t="shared" si="25"/>
        <v>Q3 - 2025</v>
      </c>
      <c r="K140" s="129" t="str">
        <f t="shared" si="25"/>
        <v>Q4 - 2025</v>
      </c>
      <c r="L140" s="140" t="str">
        <f t="shared" si="25"/>
        <v>Q1 - 2026</v>
      </c>
      <c r="M140" s="10"/>
      <c r="O140" s="18"/>
    </row>
    <row r="141" spans="1:16" x14ac:dyDescent="0.3">
      <c r="B141" s="772" t="str">
        <f>IF(Intro!$G$20="English",Variables!B30,Variables!C30)</f>
        <v>SAG Balls - 5.0" (125mm) within a 5% tolerance</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IF(Intro!$G$20="English",Variables!$B$23,Variables!$C$23)</f>
        <v>tonnes</v>
      </c>
      <c r="C143" s="736"/>
      <c r="D143" s="736"/>
      <c r="E143" s="141"/>
      <c r="F143" s="141"/>
      <c r="G143" s="141"/>
      <c r="H143" s="141"/>
      <c r="I143" s="141"/>
      <c r="J143" s="141"/>
      <c r="K143" s="141"/>
      <c r="L143" s="142"/>
      <c r="M143" s="10"/>
    </row>
    <row r="144" spans="1:16" x14ac:dyDescent="0.3">
      <c r="B144" s="735" t="str">
        <f>IF(Intro!G$20="English","net delivered purchase value (CAD)","valeur d'achat nette rendue (CAD)")</f>
        <v>net delivered purchase value (CAD)</v>
      </c>
      <c r="C144" s="736"/>
      <c r="D144" s="736"/>
      <c r="E144" s="141"/>
      <c r="F144" s="141"/>
      <c r="G144" s="141"/>
      <c r="H144" s="141"/>
      <c r="I144" s="141"/>
      <c r="J144" s="141"/>
      <c r="K144" s="141"/>
      <c r="L144" s="142"/>
      <c r="M144" s="10"/>
    </row>
    <row r="145" spans="2:13" x14ac:dyDescent="0.3">
      <c r="B145" s="735" t="str">
        <f>"$ / "&amp;IF(Intro!$G$20="English",Variables!$B$24,Variables!$C$24)</f>
        <v>$ / tonne</v>
      </c>
      <c r="C145" s="736"/>
      <c r="D145" s="736"/>
      <c r="E145" s="289" t="str">
        <f t="shared" ref="E145:L145" si="26">IF(E143=0,"-",E144/E143)</f>
        <v>-</v>
      </c>
      <c r="F145" s="289" t="str">
        <f t="shared" si="26"/>
        <v>-</v>
      </c>
      <c r="G145" s="289" t="str">
        <f t="shared" si="26"/>
        <v>-</v>
      </c>
      <c r="H145" s="289" t="str">
        <f t="shared" si="26"/>
        <v>-</v>
      </c>
      <c r="I145" s="289" t="str">
        <f t="shared" si="26"/>
        <v>-</v>
      </c>
      <c r="J145" s="289" t="str">
        <f t="shared" si="26"/>
        <v>-</v>
      </c>
      <c r="K145" s="289" t="str">
        <f t="shared" si="26"/>
        <v>-</v>
      </c>
      <c r="L145" s="289" t="str">
        <f t="shared" si="26"/>
        <v>-</v>
      </c>
      <c r="M145" s="10"/>
    </row>
    <row r="146" spans="2:13" x14ac:dyDescent="0.3">
      <c r="B146" s="772" t="str">
        <f>IF(Intro!$G$20="English",Variables!B31,Variables!C31)</f>
        <v>SAG Balls - 5.25" (133mm) within a 5% tolerance</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IF(Intro!$G$20="English",Variables!$B$23,Variables!$C$23)</f>
        <v>tonnes</v>
      </c>
      <c r="C148" s="736"/>
      <c r="D148" s="736"/>
      <c r="E148" s="141"/>
      <c r="F148" s="141"/>
      <c r="G148" s="141"/>
      <c r="H148" s="141"/>
      <c r="I148" s="141"/>
      <c r="J148" s="141"/>
      <c r="K148" s="141"/>
      <c r="L148" s="142"/>
      <c r="M148" s="10"/>
    </row>
    <row r="149" spans="2:13" x14ac:dyDescent="0.3">
      <c r="B149" s="735" t="str">
        <f>IF(Intro!G$20="English","net delivered purchase value (CAD)","valeur d'achat nette rendue (CAD)")</f>
        <v>net delivered purchase value (CAD)</v>
      </c>
      <c r="C149" s="736"/>
      <c r="D149" s="736"/>
      <c r="E149" s="141"/>
      <c r="F149" s="141"/>
      <c r="G149" s="141"/>
      <c r="H149" s="141"/>
      <c r="I149" s="141"/>
      <c r="J149" s="141"/>
      <c r="K149" s="141"/>
      <c r="L149" s="142"/>
      <c r="M149" s="10"/>
    </row>
    <row r="150" spans="2:13" x14ac:dyDescent="0.3">
      <c r="B150" s="735" t="str">
        <f>"$ / "&amp;IF(Intro!$G$20="English",Variables!$B$24,Variables!$C$24)</f>
        <v>$ / tonne</v>
      </c>
      <c r="C150" s="736"/>
      <c r="D150" s="736"/>
      <c r="E150" s="289" t="str">
        <f t="shared" ref="E150:L150" si="27">IF(E148=0,"-",E149/E148)</f>
        <v>-</v>
      </c>
      <c r="F150" s="289" t="str">
        <f t="shared" si="27"/>
        <v>-</v>
      </c>
      <c r="G150" s="289" t="str">
        <f t="shared" si="27"/>
        <v>-</v>
      </c>
      <c r="H150" s="289" t="str">
        <f t="shared" si="27"/>
        <v>-</v>
      </c>
      <c r="I150" s="289" t="str">
        <f t="shared" si="27"/>
        <v>-</v>
      </c>
      <c r="J150" s="289" t="str">
        <f t="shared" si="27"/>
        <v>-</v>
      </c>
      <c r="K150" s="289" t="str">
        <f t="shared" si="27"/>
        <v>-</v>
      </c>
      <c r="L150" s="289" t="str">
        <f t="shared" si="27"/>
        <v>-</v>
      </c>
      <c r="M150" s="10"/>
    </row>
    <row r="151" spans="2:13" x14ac:dyDescent="0.3">
      <c r="B151" s="772" t="str">
        <f>IF(Intro!$G$20="English",Variables!B32,Variables!C32)</f>
        <v>Mid-size Balls - 2.5" (65mm) within a 5% tolerance</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IF(Intro!$G$20="English",Variables!$B$23,Variables!$C$23)</f>
        <v>tonnes</v>
      </c>
      <c r="C153" s="736"/>
      <c r="D153" s="736"/>
      <c r="E153" s="141"/>
      <c r="F153" s="141"/>
      <c r="G153" s="141"/>
      <c r="H153" s="141"/>
      <c r="I153" s="141"/>
      <c r="J153" s="141"/>
      <c r="K153" s="141"/>
      <c r="L153" s="142"/>
      <c r="M153" s="10"/>
    </row>
    <row r="154" spans="2:13" x14ac:dyDescent="0.3">
      <c r="B154" s="735" t="str">
        <f>IF(Intro!G$20="English","net delivered purchase value (CAD)","valeur d'achat nette rendue (CAD)")</f>
        <v>net delivered purchase value (CAD)</v>
      </c>
      <c r="C154" s="736"/>
      <c r="D154" s="736"/>
      <c r="E154" s="141"/>
      <c r="F154" s="141"/>
      <c r="G154" s="141"/>
      <c r="H154" s="141"/>
      <c r="I154" s="141"/>
      <c r="J154" s="141"/>
      <c r="K154" s="141"/>
      <c r="L154" s="142"/>
      <c r="M154" s="10"/>
    </row>
    <row r="155" spans="2:13" x14ac:dyDescent="0.3">
      <c r="B155" s="735" t="str">
        <f>"$ / "&amp;IF(Intro!$G$20="English",Variables!$B$24,Variables!$C$24)</f>
        <v>$ / tonne</v>
      </c>
      <c r="C155" s="736"/>
      <c r="D155" s="736"/>
      <c r="E155" s="289" t="str">
        <f t="shared" ref="E155:L155" si="28">IF(E153=0,"-",E154/E153)</f>
        <v>-</v>
      </c>
      <c r="F155" s="289" t="str">
        <f t="shared" si="28"/>
        <v>-</v>
      </c>
      <c r="G155" s="289" t="str">
        <f t="shared" si="28"/>
        <v>-</v>
      </c>
      <c r="H155" s="289" t="str">
        <f t="shared" si="28"/>
        <v>-</v>
      </c>
      <c r="I155" s="289" t="str">
        <f t="shared" si="28"/>
        <v>-</v>
      </c>
      <c r="J155" s="289" t="str">
        <f t="shared" si="28"/>
        <v>-</v>
      </c>
      <c r="K155" s="289" t="str">
        <f t="shared" si="28"/>
        <v>-</v>
      </c>
      <c r="L155" s="289" t="str">
        <f t="shared" si="28"/>
        <v>-</v>
      </c>
      <c r="M155" s="10"/>
    </row>
    <row r="156" spans="2:13" x14ac:dyDescent="0.3">
      <c r="B156" s="772" t="str">
        <f>IF(Intro!$G$20="English",Variables!B33,Variables!C33)</f>
        <v>Mid-size Balls - 3.5" (94mm) within a 5% tolerance</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IF(Intro!$G$20="English",Variables!$B$23,Variables!$C$23)</f>
        <v>tonnes</v>
      </c>
      <c r="C158" s="736"/>
      <c r="D158" s="736"/>
      <c r="E158" s="141"/>
      <c r="F158" s="141"/>
      <c r="G158" s="141"/>
      <c r="H158" s="141"/>
      <c r="I158" s="141"/>
      <c r="J158" s="141"/>
      <c r="K158" s="141"/>
      <c r="L158" s="142"/>
      <c r="M158" s="10"/>
    </row>
    <row r="159" spans="2:13" x14ac:dyDescent="0.3">
      <c r="B159" s="735" t="str">
        <f>IF(Intro!G$20="English","net delivered purchase value (CAD)","valeur d'achat nette rendue (CAD)")</f>
        <v>net delivered purchase value (CAD)</v>
      </c>
      <c r="C159" s="736"/>
      <c r="D159" s="736"/>
      <c r="E159" s="141"/>
      <c r="F159" s="141"/>
      <c r="G159" s="141"/>
      <c r="H159" s="141"/>
      <c r="I159" s="141"/>
      <c r="J159" s="141"/>
      <c r="K159" s="141"/>
      <c r="L159" s="142"/>
      <c r="M159" s="10"/>
    </row>
    <row r="160" spans="2:13" x14ac:dyDescent="0.3">
      <c r="B160" s="735" t="str">
        <f>"$ / "&amp;IF(Intro!$G$20="English",Variables!$B$24,Variables!$C$24)</f>
        <v>$ / tonne</v>
      </c>
      <c r="C160" s="736"/>
      <c r="D160" s="736"/>
      <c r="E160" s="289" t="str">
        <f t="shared" ref="E160:L160" si="29">IF(E158=0,"-",E159/E158)</f>
        <v>-</v>
      </c>
      <c r="F160" s="289" t="str">
        <f t="shared" si="29"/>
        <v>-</v>
      </c>
      <c r="G160" s="289" t="str">
        <f t="shared" si="29"/>
        <v>-</v>
      </c>
      <c r="H160" s="289" t="str">
        <f t="shared" si="29"/>
        <v>-</v>
      </c>
      <c r="I160" s="289" t="str">
        <f t="shared" si="29"/>
        <v>-</v>
      </c>
      <c r="J160" s="289" t="str">
        <f t="shared" si="29"/>
        <v>-</v>
      </c>
      <c r="K160" s="289" t="str">
        <f t="shared" si="29"/>
        <v>-</v>
      </c>
      <c r="L160" s="289" t="str">
        <f t="shared" si="29"/>
        <v>-</v>
      </c>
      <c r="M160" s="10"/>
    </row>
    <row r="161" spans="2:13" x14ac:dyDescent="0.3">
      <c r="B161" s="772" t="str">
        <f>IF(Intro!$G$20="English",Variables!B34,Variables!C34)</f>
        <v>Regrind Balls - 1.0" (25mm) within a 5% tolerance</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IF(Intro!$G$20="English",Variables!$B$23,Variables!$C$23)</f>
        <v>tonnes</v>
      </c>
      <c r="C163" s="736"/>
      <c r="D163" s="736"/>
      <c r="E163" s="141"/>
      <c r="F163" s="141"/>
      <c r="G163" s="141"/>
      <c r="H163" s="141"/>
      <c r="I163" s="141"/>
      <c r="J163" s="141"/>
      <c r="K163" s="141"/>
      <c r="L163" s="142"/>
      <c r="M163" s="10"/>
    </row>
    <row r="164" spans="2:13" x14ac:dyDescent="0.3">
      <c r="B164" s="735" t="str">
        <f>IF(Intro!G$20="English","net delivered purchase value (CAD)","valeur d'achat nette rendue (CAD)")</f>
        <v>net delivered purchase value (CAD)</v>
      </c>
      <c r="C164" s="736"/>
      <c r="D164" s="736"/>
      <c r="E164" s="141"/>
      <c r="F164" s="141"/>
      <c r="G164" s="141"/>
      <c r="H164" s="141"/>
      <c r="I164" s="141"/>
      <c r="J164" s="141"/>
      <c r="K164" s="141"/>
      <c r="L164" s="142"/>
      <c r="M164" s="10"/>
    </row>
    <row r="165" spans="2:13" x14ac:dyDescent="0.3">
      <c r="B165" s="735" t="str">
        <f>"$ / "&amp;IF(Intro!$G$20="English",Variables!$B$24,Variables!$C$24)</f>
        <v>$ / tonne</v>
      </c>
      <c r="C165" s="736"/>
      <c r="D165" s="736"/>
      <c r="E165" s="289" t="str">
        <f t="shared" ref="E165:L165" si="30">IF(E163=0,"-",E164/E163)</f>
        <v>-</v>
      </c>
      <c r="F165" s="289" t="str">
        <f t="shared" si="30"/>
        <v>-</v>
      </c>
      <c r="G165" s="289" t="str">
        <f t="shared" si="30"/>
        <v>-</v>
      </c>
      <c r="H165" s="289" t="str">
        <f t="shared" si="30"/>
        <v>-</v>
      </c>
      <c r="I165" s="289" t="str">
        <f t="shared" si="30"/>
        <v>-</v>
      </c>
      <c r="J165" s="289" t="str">
        <f t="shared" si="30"/>
        <v>-</v>
      </c>
      <c r="K165" s="289" t="str">
        <f t="shared" si="30"/>
        <v>-</v>
      </c>
      <c r="L165" s="289" t="str">
        <f t="shared" si="30"/>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IF(Intro!$G$20="English",Variables!$B$23,Variables!$C$23)</f>
        <v>tonnes</v>
      </c>
      <c r="C168" s="777"/>
      <c r="D168" s="778"/>
      <c r="E168" s="141"/>
      <c r="F168" s="141"/>
      <c r="G168" s="141"/>
      <c r="H168" s="141"/>
      <c r="I168" s="141"/>
      <c r="J168" s="141"/>
      <c r="K168" s="141"/>
      <c r="L168" s="142"/>
      <c r="M168" s="10"/>
    </row>
    <row r="169" spans="2:13" hidden="1" x14ac:dyDescent="0.3">
      <c r="B169" s="776" t="str">
        <f>IF(Intro!G$20="English","net delivered purchase value (CAD)","valeur d'achat nette rendue (CAD)")</f>
        <v>net delivered purchase value (CAD)</v>
      </c>
      <c r="C169" s="777"/>
      <c r="D169" s="778"/>
      <c r="E169" s="141"/>
      <c r="F169" s="141"/>
      <c r="G169" s="141"/>
      <c r="H169" s="141"/>
      <c r="I169" s="141"/>
      <c r="J169" s="141"/>
      <c r="K169" s="141"/>
      <c r="L169" s="142"/>
      <c r="M169" s="10"/>
    </row>
    <row r="170" spans="2:13" hidden="1" x14ac:dyDescent="0.3">
      <c r="B170" s="776" t="str">
        <f>"$ / "&amp;IF(Intro!$G$20="English",Variables!$B$24,Variables!$C$24)</f>
        <v>$ / tonne</v>
      </c>
      <c r="C170" s="777"/>
      <c r="D170" s="778"/>
      <c r="E170" s="289" t="str">
        <f t="shared" ref="E170:L170" si="31">IF(E168=0,"-",E169/E168)</f>
        <v>-</v>
      </c>
      <c r="F170" s="289" t="str">
        <f t="shared" si="31"/>
        <v>-</v>
      </c>
      <c r="G170" s="289" t="str">
        <f t="shared" si="31"/>
        <v>-</v>
      </c>
      <c r="H170" s="289" t="str">
        <f t="shared" si="31"/>
        <v>-</v>
      </c>
      <c r="I170" s="289" t="str">
        <f t="shared" si="31"/>
        <v>-</v>
      </c>
      <c r="J170" s="289" t="str">
        <f t="shared" si="31"/>
        <v>-</v>
      </c>
      <c r="K170" s="289" t="str">
        <f t="shared" si="31"/>
        <v>-</v>
      </c>
      <c r="L170" s="289" t="str">
        <f t="shared" si="31"/>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IF(Intro!$G$20="English",Variables!$B$23,Variables!$C$23)</f>
        <v>tonnes</v>
      </c>
      <c r="C173" s="777"/>
      <c r="D173" s="778"/>
      <c r="E173" s="141"/>
      <c r="F173" s="141"/>
      <c r="G173" s="141"/>
      <c r="H173" s="141"/>
      <c r="I173" s="141"/>
      <c r="J173" s="141"/>
      <c r="K173" s="141"/>
      <c r="L173" s="142"/>
      <c r="M173" s="10"/>
    </row>
    <row r="174" spans="2:13" hidden="1" x14ac:dyDescent="0.3">
      <c r="B174" s="776" t="str">
        <f>IF(Intro!G$20="English","net delivered purchase value (CAD)","valeur d'achat nette rendue (CAD)")</f>
        <v>net delivered purchase value (CAD)</v>
      </c>
      <c r="C174" s="777"/>
      <c r="D174" s="778"/>
      <c r="E174" s="141"/>
      <c r="F174" s="141"/>
      <c r="G174" s="141"/>
      <c r="H174" s="141"/>
      <c r="I174" s="141"/>
      <c r="J174" s="141"/>
      <c r="K174" s="141"/>
      <c r="L174" s="142"/>
      <c r="M174" s="10"/>
    </row>
    <row r="175" spans="2:13" hidden="1" x14ac:dyDescent="0.3">
      <c r="B175" s="776" t="str">
        <f>"$ / "&amp;IF(Intro!$G$20="English",Variables!$B$24,Variables!$C$24)</f>
        <v>$ / tonne</v>
      </c>
      <c r="C175" s="777"/>
      <c r="D175" s="778"/>
      <c r="E175" s="289" t="str">
        <f t="shared" ref="E175:L175" si="32">IF(E173=0,"-",E174/E173)</f>
        <v>-</v>
      </c>
      <c r="F175" s="289" t="str">
        <f t="shared" si="32"/>
        <v>-</v>
      </c>
      <c r="G175" s="289" t="str">
        <f t="shared" si="32"/>
        <v>-</v>
      </c>
      <c r="H175" s="289" t="str">
        <f t="shared" si="32"/>
        <v>-</v>
      </c>
      <c r="I175" s="289" t="str">
        <f t="shared" si="32"/>
        <v>-</v>
      </c>
      <c r="J175" s="289" t="str">
        <f t="shared" si="32"/>
        <v>-</v>
      </c>
      <c r="K175" s="289" t="str">
        <f t="shared" si="32"/>
        <v>-</v>
      </c>
      <c r="L175" s="289" t="str">
        <f t="shared" si="32"/>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IF(Intro!$G$20="English",Variables!$B$23,Variables!$C$23)</f>
        <v>tonnes</v>
      </c>
      <c r="C178" s="777"/>
      <c r="D178" s="778"/>
      <c r="E178" s="141"/>
      <c r="F178" s="141"/>
      <c r="G178" s="141"/>
      <c r="H178" s="141"/>
      <c r="I178" s="141"/>
      <c r="J178" s="141"/>
      <c r="K178" s="141"/>
      <c r="L178" s="142"/>
      <c r="M178" s="10"/>
    </row>
    <row r="179" spans="2:19" hidden="1" x14ac:dyDescent="0.3">
      <c r="B179" s="776" t="str">
        <f>IF(Intro!G$20="English","net delivered purchase value (CAD)","valeur d'achat nette rendue (CAD)")</f>
        <v>net delivered purchase value (CAD)</v>
      </c>
      <c r="C179" s="777"/>
      <c r="D179" s="778"/>
      <c r="E179" s="141"/>
      <c r="F179" s="141"/>
      <c r="G179" s="141"/>
      <c r="H179" s="141"/>
      <c r="I179" s="141"/>
      <c r="J179" s="141"/>
      <c r="K179" s="141"/>
      <c r="L179" s="142"/>
      <c r="M179" s="10"/>
    </row>
    <row r="180" spans="2:19" hidden="1" x14ac:dyDescent="0.3">
      <c r="B180" s="776" t="str">
        <f>"$ / "&amp;IF(Intro!$G$20="English",Variables!$B$24,Variables!$C$24)</f>
        <v>$ / tonne</v>
      </c>
      <c r="C180" s="777"/>
      <c r="D180" s="778"/>
      <c r="E180" s="289" t="str">
        <f t="shared" ref="E180:L180" si="33">IF(E178=0,"-",E179/E178)</f>
        <v>-</v>
      </c>
      <c r="F180" s="289" t="str">
        <f t="shared" si="33"/>
        <v>-</v>
      </c>
      <c r="G180" s="289" t="str">
        <f t="shared" si="33"/>
        <v>-</v>
      </c>
      <c r="H180" s="289" t="str">
        <f t="shared" si="33"/>
        <v>-</v>
      </c>
      <c r="I180" s="289" t="str">
        <f t="shared" si="33"/>
        <v>-</v>
      </c>
      <c r="J180" s="289" t="str">
        <f t="shared" si="33"/>
        <v>-</v>
      </c>
      <c r="K180" s="289" t="str">
        <f t="shared" si="33"/>
        <v>-</v>
      </c>
      <c r="L180" s="289" t="str">
        <f t="shared" si="33"/>
        <v>-</v>
      </c>
      <c r="M180" s="10"/>
    </row>
    <row r="181" spans="2:19" x14ac:dyDescent="0.3">
      <c r="B181" s="115"/>
      <c r="C181" s="116"/>
      <c r="D181" s="116"/>
      <c r="E181" s="29"/>
      <c r="F181" s="29"/>
      <c r="G181" s="29"/>
      <c r="H181" s="29"/>
      <c r="I181" s="29"/>
      <c r="J181" s="29"/>
      <c r="K181" s="29"/>
      <c r="L181" s="30"/>
      <c r="M181" s="10"/>
    </row>
    <row r="182" spans="2:19" x14ac:dyDescent="0.3">
      <c r="B182" s="500" t="str">
        <f>IF(Intro!$G$20="English",O182,P182)</f>
        <v>In the table below, “Error” means that the total imports of your firm's benchmark products exceed your firm's total imports for that period. Therefore, please modify the above data if necessary.</v>
      </c>
      <c r="C182" s="501"/>
      <c r="D182" s="501"/>
      <c r="E182" s="501"/>
      <c r="F182" s="501"/>
      <c r="G182" s="501"/>
      <c r="H182" s="501"/>
      <c r="I182" s="501"/>
      <c r="J182" s="501"/>
      <c r="K182" s="501"/>
      <c r="L182" s="502"/>
      <c r="M182" s="10"/>
      <c r="O182" s="38" t="s">
        <v>366</v>
      </c>
      <c r="P182" s="38" t="s">
        <v>367</v>
      </c>
      <c r="Q182" s="38"/>
      <c r="R182" s="38"/>
      <c r="S182" s="38"/>
    </row>
    <row r="183" spans="2:19" x14ac:dyDescent="0.3">
      <c r="B183" s="500"/>
      <c r="C183" s="501"/>
      <c r="D183" s="501"/>
      <c r="E183" s="501"/>
      <c r="F183" s="501"/>
      <c r="G183" s="501"/>
      <c r="H183" s="501"/>
      <c r="I183" s="501"/>
      <c r="J183" s="501"/>
      <c r="K183" s="501"/>
      <c r="L183" s="502"/>
      <c r="M183" s="10"/>
      <c r="O183" s="38"/>
      <c r="P183" s="38"/>
      <c r="Q183" s="38"/>
      <c r="R183" s="38"/>
      <c r="S183" s="38"/>
    </row>
    <row r="184" spans="2:19" x14ac:dyDescent="0.3">
      <c r="B184" s="61"/>
      <c r="C184" s="62"/>
      <c r="D184" s="62"/>
      <c r="E184" s="29"/>
      <c r="F184" s="29"/>
      <c r="G184" s="29"/>
      <c r="H184" s="29"/>
      <c r="I184" s="29"/>
      <c r="J184" s="29"/>
      <c r="K184" s="29"/>
      <c r="L184" s="30"/>
      <c r="M184" s="10"/>
      <c r="O184" s="38"/>
      <c r="P184" s="38"/>
      <c r="Q184" s="38"/>
      <c r="R184" s="38"/>
      <c r="S184" s="38"/>
    </row>
    <row r="185" spans="2:19" ht="14.1" customHeight="1" x14ac:dyDescent="0.3">
      <c r="B185" s="763" t="str">
        <f>Variables!D62</f>
        <v>Verification - volume</v>
      </c>
      <c r="C185" s="764"/>
      <c r="D185" s="764"/>
      <c r="E185" s="764"/>
      <c r="F185" s="765"/>
      <c r="G185" s="221">
        <f>G125</f>
        <v>2024</v>
      </c>
      <c r="H185" s="221">
        <f>H125</f>
        <v>2025</v>
      </c>
      <c r="I185" s="221" t="str">
        <f>I125</f>
        <v>Q1 - 2026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Okay</v>
      </c>
      <c r="H186" s="232" t="str">
        <f>IF(SUM(H143:K143,H148:K148,H153:K153,H158:K158,H163:K163,H168:K168,H173:K173,H178:K178)&gt;SUM(I27,I43,I59),Variables!$D$63,Variables!$D$64)</f>
        <v>Okay</v>
      </c>
      <c r="I186" s="232" t="str">
        <f>IF(SUM(L143,L148,L153,L158,L163,L168,L173,L178)&gt;SUM(K27,K43,K59),Variables!$D$63,Variables!$D$64)</f>
        <v>Okay</v>
      </c>
      <c r="J186" s="291"/>
      <c r="K186" s="291"/>
      <c r="L186" s="292"/>
      <c r="M186" s="10"/>
    </row>
    <row r="187" spans="2:19" ht="14.1" customHeight="1" x14ac:dyDescent="0.3">
      <c r="B187" s="783" t="str">
        <f>IF(Intro!$G$20="English",O187,P187)</f>
        <v>volume - total imports of benchmark products (Question 3)</v>
      </c>
      <c r="C187" s="784"/>
      <c r="D187" s="784"/>
      <c r="E187" s="784"/>
      <c r="F187" s="785"/>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3" t="str">
        <f>IF(Intro!$G$20="English",O188,P188)</f>
        <v>volume - total imports (Question 1)</v>
      </c>
      <c r="C188" s="784"/>
      <c r="D188" s="784"/>
      <c r="E188" s="784"/>
      <c r="F188" s="785"/>
      <c r="G188" s="232">
        <f>H27</f>
        <v>0</v>
      </c>
      <c r="H188" s="232">
        <f>I27</f>
        <v>0</v>
      </c>
      <c r="I188" s="232">
        <f>K27</f>
        <v>0</v>
      </c>
      <c r="J188" s="291"/>
      <c r="K188" s="291"/>
      <c r="L188" s="292"/>
      <c r="M188" s="10"/>
      <c r="O188" s="10" t="s">
        <v>493</v>
      </c>
      <c r="P188" s="10" t="s">
        <v>494</v>
      </c>
    </row>
    <row r="189" spans="2:19" x14ac:dyDescent="0.3">
      <c r="B189" s="763" t="str">
        <f>Variables!D66</f>
        <v>Verification - value</v>
      </c>
      <c r="C189" s="764"/>
      <c r="D189" s="764"/>
      <c r="E189" s="764"/>
      <c r="F189" s="765"/>
      <c r="G189" s="221">
        <f>G185</f>
        <v>2024</v>
      </c>
      <c r="H189" s="221">
        <f>H185</f>
        <v>2025</v>
      </c>
      <c r="I189" s="221" t="str">
        <f>I185</f>
        <v>Q1 - 2026</v>
      </c>
      <c r="J189" s="291"/>
      <c r="K189" s="291"/>
      <c r="L189" s="292"/>
      <c r="M189" s="10"/>
    </row>
    <row r="190" spans="2:19" ht="14.1" customHeight="1" x14ac:dyDescent="0.3">
      <c r="B190" s="776" t="str">
        <f>B144</f>
        <v>net delivered purchase value (CAD)</v>
      </c>
      <c r="C190" s="777"/>
      <c r="D190" s="777"/>
      <c r="E190" s="777"/>
      <c r="F190" s="778"/>
      <c r="G190" s="232" t="str">
        <f>IF(SUM(E144:G144,E149:G149,E154:G154,E159:G159,E164:G164,E169:G169,E174:G174,E179:G179)&gt;SUM(H28,H44,H60),Variables!$D$63,Variables!$D$64)</f>
        <v>Okay</v>
      </c>
      <c r="H190" s="232" t="str">
        <f>IF(SUM(H144:K144,H149:K149,H154:K154,H159:K159,H164:K164,H169:K169,H174:K174,H179:K179)&gt;SUM(I28,I44,I60),Variables!$D$63,Variables!$D$64)</f>
        <v>Okay</v>
      </c>
      <c r="I190" s="232" t="str">
        <f>IF(SUM(L144,L149,L154,L159,L164,L169,L174,L179)&gt;SUM(K28,K44,K60),Variables!$D$63,Variables!$D$64)</f>
        <v>Okay</v>
      </c>
      <c r="J190" s="291"/>
      <c r="K190" s="291"/>
      <c r="L190" s="292"/>
      <c r="M190" s="10"/>
    </row>
    <row r="191" spans="2:19" ht="14.1" customHeight="1" x14ac:dyDescent="0.3">
      <c r="B191" s="783" t="str">
        <f>IF(Intro!$G$20="English",O191,P191)</f>
        <v>value - total imports of benchmark products (Question 3)</v>
      </c>
      <c r="C191" s="784"/>
      <c r="D191" s="784"/>
      <c r="E191" s="784"/>
      <c r="F191" s="785"/>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3" t="str">
        <f>IF(Intro!$G$20="English",O192,P192)</f>
        <v>value - total imports (Question 1)</v>
      </c>
      <c r="C192" s="784"/>
      <c r="D192" s="784"/>
      <c r="E192" s="784"/>
      <c r="F192" s="785"/>
      <c r="G192" s="232">
        <f>H28</f>
        <v>0</v>
      </c>
      <c r="H192" s="232">
        <f>I28</f>
        <v>0</v>
      </c>
      <c r="I192" s="232">
        <f>K28</f>
        <v>0</v>
      </c>
      <c r="J192" s="291"/>
      <c r="K192" s="291"/>
      <c r="L192" s="292"/>
      <c r="M192" s="10"/>
      <c r="O192" s="10" t="s">
        <v>571</v>
      </c>
      <c r="P192" s="10" t="s">
        <v>497</v>
      </c>
    </row>
    <row r="193" spans="1:16" x14ac:dyDescent="0.3">
      <c r="B193" s="72"/>
      <c r="C193" s="69"/>
      <c r="D193" s="69"/>
      <c r="E193" s="69"/>
      <c r="F193" s="69"/>
      <c r="G193" s="69"/>
      <c r="H193" s="69"/>
      <c r="I193" s="69"/>
      <c r="J193" s="69"/>
      <c r="K193" s="69"/>
      <c r="L193" s="70"/>
      <c r="M193" s="10"/>
    </row>
    <row r="194" spans="1:16" s="11" customFormat="1" x14ac:dyDescent="0.3">
      <c r="A194" s="7"/>
      <c r="B194" s="92"/>
      <c r="C194" s="90"/>
      <c r="D194" s="90"/>
      <c r="E194" s="91"/>
      <c r="F194" s="91"/>
      <c r="G194" s="91"/>
      <c r="H194" s="91"/>
      <c r="I194" s="91"/>
      <c r="J194" s="91"/>
      <c r="K194" s="91"/>
      <c r="L194" s="91"/>
      <c r="M194" s="73"/>
    </row>
    <row r="195" spans="1:16" x14ac:dyDescent="0.3">
      <c r="B195" s="506" t="str">
        <f>IF(Intro!$G$20="English",O195,P195)</f>
        <v>SALES IN CANADA OF IMPORTS OF BENCHMARK PRODUCTS</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 xml:space="preserve">Report the volume and value of sales of imports in Canada for each benchmark product listed below : </v>
      </c>
      <c r="C198" s="504"/>
      <c r="D198" s="504"/>
      <c r="E198" s="504"/>
      <c r="F198" s="504"/>
      <c r="G198" s="504"/>
      <c r="H198" s="504"/>
      <c r="I198" s="504"/>
      <c r="J198" s="504"/>
      <c r="K198" s="504"/>
      <c r="L198" s="505"/>
      <c r="M198" s="10"/>
      <c r="O198" s="18" t="s">
        <v>170</v>
      </c>
      <c r="P198" s="10" t="s">
        <v>435</v>
      </c>
    </row>
    <row r="199" spans="1:16" x14ac:dyDescent="0.3">
      <c r="B199" s="503" t="str">
        <f>Pro!B22</f>
        <v>Note - Only complete this question if your firm sold the goods between January 1, 2023, and March 31, 2026.</v>
      </c>
      <c r="C199" s="504"/>
      <c r="D199" s="504"/>
      <c r="E199" s="504"/>
      <c r="F199" s="504"/>
      <c r="G199" s="504"/>
      <c r="H199" s="504"/>
      <c r="I199" s="504"/>
      <c r="J199" s="504"/>
      <c r="K199" s="504"/>
      <c r="L199" s="505"/>
      <c r="M199" s="10"/>
      <c r="O199" s="18"/>
    </row>
    <row r="200" spans="1:16" x14ac:dyDescent="0.3">
      <c r="B200" s="61"/>
      <c r="C200" s="35"/>
      <c r="D200" s="35"/>
      <c r="E200" s="36"/>
      <c r="F200" s="36"/>
      <c r="G200" s="36"/>
      <c r="H200" s="36"/>
      <c r="I200" s="36"/>
      <c r="J200" s="36"/>
      <c r="K200" s="36"/>
      <c r="L200" s="17"/>
      <c r="M200" s="10"/>
      <c r="O200" s="18"/>
    </row>
    <row r="201" spans="1:16" x14ac:dyDescent="0.3">
      <c r="B201" s="779"/>
      <c r="C201" s="780"/>
      <c r="D201" s="781"/>
      <c r="E201" s="147" t="str">
        <f t="shared" ref="E201:L201" si="34">E140</f>
        <v>Q2 - 2024</v>
      </c>
      <c r="F201" s="147" t="str">
        <f t="shared" si="34"/>
        <v>Q3 - 2024</v>
      </c>
      <c r="G201" s="147" t="str">
        <f t="shared" si="34"/>
        <v>Q4 - 2024</v>
      </c>
      <c r="H201" s="147" t="str">
        <f t="shared" si="34"/>
        <v>Q1 - 2025</v>
      </c>
      <c r="I201" s="147" t="str">
        <f t="shared" si="34"/>
        <v>Q2 - 2025</v>
      </c>
      <c r="J201" s="147" t="str">
        <f t="shared" si="34"/>
        <v>Q3 - 2025</v>
      </c>
      <c r="K201" s="147" t="str">
        <f t="shared" si="34"/>
        <v>Q4 - 2025</v>
      </c>
      <c r="L201" s="148" t="str">
        <f t="shared" si="34"/>
        <v>Q1 - 2026</v>
      </c>
      <c r="M201" s="10"/>
      <c r="O201" s="18"/>
    </row>
    <row r="202" spans="1:16" x14ac:dyDescent="0.3">
      <c r="B202" s="772" t="str">
        <f>B141</f>
        <v>SAG Balls - 5.0" (125mm) within a 5% tolerance</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IF(Intro!$G$20="English",Variables!$B$23,Variables!$C$23)</f>
        <v>tonnes</v>
      </c>
      <c r="C204" s="736"/>
      <c r="D204" s="736"/>
      <c r="E204" s="141"/>
      <c r="F204" s="141"/>
      <c r="G204" s="141"/>
      <c r="H204" s="141"/>
      <c r="I204" s="141"/>
      <c r="J204" s="141"/>
      <c r="K204" s="141"/>
      <c r="L204" s="142"/>
      <c r="M204" s="10"/>
    </row>
    <row r="205" spans="1:16" x14ac:dyDescent="0.3">
      <c r="B205" s="735" t="str">
        <f>IF(Intro!G$20="English","net delivered selling value (CAD)","valeur de vente nette rendue (CAD)")</f>
        <v>net delivered selling value (CAD)</v>
      </c>
      <c r="C205" s="736"/>
      <c r="D205" s="736"/>
      <c r="E205" s="141"/>
      <c r="F205" s="141"/>
      <c r="G205" s="141"/>
      <c r="H205" s="141"/>
      <c r="I205" s="141"/>
      <c r="J205" s="141"/>
      <c r="K205" s="141"/>
      <c r="L205" s="142"/>
      <c r="M205" s="10"/>
    </row>
    <row r="206" spans="1:16" x14ac:dyDescent="0.3">
      <c r="B206" s="735" t="str">
        <f>"$ / "&amp;IF(Intro!$G$20="English",Variables!$B$24,Variables!$C$24)</f>
        <v>$ / tonne</v>
      </c>
      <c r="C206" s="736"/>
      <c r="D206" s="736"/>
      <c r="E206" s="289" t="str">
        <f t="shared" ref="E206:L206" si="35">IF(E204=0,"-",E205/E204)</f>
        <v>-</v>
      </c>
      <c r="F206" s="289" t="str">
        <f t="shared" si="35"/>
        <v>-</v>
      </c>
      <c r="G206" s="289" t="str">
        <f t="shared" si="35"/>
        <v>-</v>
      </c>
      <c r="H206" s="289" t="str">
        <f t="shared" si="35"/>
        <v>-</v>
      </c>
      <c r="I206" s="289" t="str">
        <f t="shared" si="35"/>
        <v>-</v>
      </c>
      <c r="J206" s="289" t="str">
        <f t="shared" si="35"/>
        <v>-</v>
      </c>
      <c r="K206" s="289" t="str">
        <f t="shared" si="35"/>
        <v>-</v>
      </c>
      <c r="L206" s="289" t="str">
        <f t="shared" si="35"/>
        <v>-</v>
      </c>
      <c r="M206" s="10"/>
    </row>
    <row r="207" spans="1:16" x14ac:dyDescent="0.3">
      <c r="B207" s="772" t="str">
        <f>B146</f>
        <v>SAG Balls - 5.25" (133mm) within a 5% tolerance</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IF(Intro!$G$20="English",Variables!$B$23,Variables!$C$23)</f>
        <v>tonnes</v>
      </c>
      <c r="C209" s="736"/>
      <c r="D209" s="736"/>
      <c r="E209" s="141"/>
      <c r="F209" s="141"/>
      <c r="G209" s="141"/>
      <c r="H209" s="141"/>
      <c r="I209" s="141"/>
      <c r="J209" s="141"/>
      <c r="K209" s="141"/>
      <c r="L209" s="142"/>
      <c r="M209" s="10"/>
    </row>
    <row r="210" spans="2:13" x14ac:dyDescent="0.3">
      <c r="B210" s="735" t="str">
        <f>IF(Intro!G$20="English","net delivered selling value (CAD)","valeur de vente nette rendue (CAD)")</f>
        <v>net delivered selling value (CAD)</v>
      </c>
      <c r="C210" s="736"/>
      <c r="D210" s="736"/>
      <c r="E210" s="141"/>
      <c r="F210" s="141"/>
      <c r="G210" s="141"/>
      <c r="H210" s="141"/>
      <c r="I210" s="141"/>
      <c r="J210" s="141"/>
      <c r="K210" s="141"/>
      <c r="L210" s="142"/>
      <c r="M210" s="10"/>
    </row>
    <row r="211" spans="2:13" x14ac:dyDescent="0.3">
      <c r="B211" s="735" t="str">
        <f>"$ / "&amp;IF(Intro!$G$20="English",Variables!$B$24,Variables!$C$24)</f>
        <v>$ / tonne</v>
      </c>
      <c r="C211" s="736"/>
      <c r="D211" s="736"/>
      <c r="E211" s="289" t="str">
        <f t="shared" ref="E211:L211" si="36">IF(E209=0,"-",E210/E209)</f>
        <v>-</v>
      </c>
      <c r="F211" s="289" t="str">
        <f t="shared" si="36"/>
        <v>-</v>
      </c>
      <c r="G211" s="289" t="str">
        <f t="shared" si="36"/>
        <v>-</v>
      </c>
      <c r="H211" s="289" t="str">
        <f t="shared" si="36"/>
        <v>-</v>
      </c>
      <c r="I211" s="289" t="str">
        <f t="shared" si="36"/>
        <v>-</v>
      </c>
      <c r="J211" s="289" t="str">
        <f t="shared" si="36"/>
        <v>-</v>
      </c>
      <c r="K211" s="289" t="str">
        <f t="shared" si="36"/>
        <v>-</v>
      </c>
      <c r="L211" s="289" t="str">
        <f t="shared" si="36"/>
        <v>-</v>
      </c>
      <c r="M211" s="10"/>
    </row>
    <row r="212" spans="2:13" x14ac:dyDescent="0.3">
      <c r="B212" s="772" t="str">
        <f>B151</f>
        <v>Mid-size Balls - 2.5" (65mm) within a 5% tolerance</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IF(Intro!$G$20="English",Variables!$B$23,Variables!$C$23)</f>
        <v>tonnes</v>
      </c>
      <c r="C214" s="736"/>
      <c r="D214" s="736"/>
      <c r="E214" s="141"/>
      <c r="F214" s="141"/>
      <c r="G214" s="141"/>
      <c r="H214" s="141"/>
      <c r="I214" s="141"/>
      <c r="J214" s="141"/>
      <c r="K214" s="141"/>
      <c r="L214" s="142"/>
      <c r="M214" s="10"/>
    </row>
    <row r="215" spans="2:13" x14ac:dyDescent="0.3">
      <c r="B215" s="735" t="str">
        <f>IF(Intro!G$20="English","net delivered selling value (CAD)","valeur de vente nette rendue (CAD)")</f>
        <v>net delivered selling value (CAD)</v>
      </c>
      <c r="C215" s="736"/>
      <c r="D215" s="736"/>
      <c r="E215" s="141"/>
      <c r="F215" s="141"/>
      <c r="G215" s="141"/>
      <c r="H215" s="141"/>
      <c r="I215" s="141"/>
      <c r="J215" s="141"/>
      <c r="K215" s="141"/>
      <c r="L215" s="142"/>
      <c r="M215" s="10"/>
    </row>
    <row r="216" spans="2:13" x14ac:dyDescent="0.3">
      <c r="B216" s="735" t="str">
        <f>"$ / "&amp;IF(Intro!$G$20="English",Variables!$B$24,Variables!$C$24)</f>
        <v>$ / tonne</v>
      </c>
      <c r="C216" s="736"/>
      <c r="D216" s="736"/>
      <c r="E216" s="289" t="str">
        <f t="shared" ref="E216:L216" si="37">IF(E214=0,"-",E215/E214)</f>
        <v>-</v>
      </c>
      <c r="F216" s="289" t="str">
        <f t="shared" si="37"/>
        <v>-</v>
      </c>
      <c r="G216" s="289" t="str">
        <f t="shared" si="37"/>
        <v>-</v>
      </c>
      <c r="H216" s="289" t="str">
        <f t="shared" si="37"/>
        <v>-</v>
      </c>
      <c r="I216" s="289" t="str">
        <f t="shared" si="37"/>
        <v>-</v>
      </c>
      <c r="J216" s="289" t="str">
        <f t="shared" si="37"/>
        <v>-</v>
      </c>
      <c r="K216" s="289" t="str">
        <f t="shared" si="37"/>
        <v>-</v>
      </c>
      <c r="L216" s="289" t="str">
        <f t="shared" si="37"/>
        <v>-</v>
      </c>
      <c r="M216" s="10"/>
    </row>
    <row r="217" spans="2:13" x14ac:dyDescent="0.3">
      <c r="B217" s="772" t="str">
        <f>B156</f>
        <v>Mid-size Balls - 3.5" (94mm) within a 5% tolerance</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IF(Intro!$G$20="English",Variables!$B$23,Variables!$C$23)</f>
        <v>tonnes</v>
      </c>
      <c r="C219" s="736"/>
      <c r="D219" s="736"/>
      <c r="E219" s="141"/>
      <c r="F219" s="141"/>
      <c r="G219" s="141"/>
      <c r="H219" s="141"/>
      <c r="I219" s="141"/>
      <c r="J219" s="141"/>
      <c r="K219" s="141"/>
      <c r="L219" s="142"/>
      <c r="M219" s="10"/>
    </row>
    <row r="220" spans="2:13" x14ac:dyDescent="0.3">
      <c r="B220" s="735" t="str">
        <f>IF(Intro!G$20="English","net delivered selling value (CAD)","valeur de vente nette rendue (CAD)")</f>
        <v>net delivered selling value (CAD)</v>
      </c>
      <c r="C220" s="736"/>
      <c r="D220" s="736"/>
      <c r="E220" s="141"/>
      <c r="F220" s="141"/>
      <c r="G220" s="141"/>
      <c r="H220" s="141"/>
      <c r="I220" s="141"/>
      <c r="J220" s="141"/>
      <c r="K220" s="141"/>
      <c r="L220" s="142"/>
      <c r="M220" s="10"/>
    </row>
    <row r="221" spans="2:13" x14ac:dyDescent="0.3">
      <c r="B221" s="735" t="str">
        <f>"$ / "&amp;IF(Intro!$G$20="English",Variables!$B$24,Variables!$C$24)</f>
        <v>$ / tonne</v>
      </c>
      <c r="C221" s="736"/>
      <c r="D221" s="736"/>
      <c r="E221" s="289" t="str">
        <f t="shared" ref="E221:L221" si="38">IF(E219=0,"-",E220/E219)</f>
        <v>-</v>
      </c>
      <c r="F221" s="289" t="str">
        <f t="shared" si="38"/>
        <v>-</v>
      </c>
      <c r="G221" s="289" t="str">
        <f t="shared" si="38"/>
        <v>-</v>
      </c>
      <c r="H221" s="289" t="str">
        <f t="shared" si="38"/>
        <v>-</v>
      </c>
      <c r="I221" s="289" t="str">
        <f t="shared" si="38"/>
        <v>-</v>
      </c>
      <c r="J221" s="289" t="str">
        <f t="shared" si="38"/>
        <v>-</v>
      </c>
      <c r="K221" s="289" t="str">
        <f t="shared" si="38"/>
        <v>-</v>
      </c>
      <c r="L221" s="289" t="str">
        <f t="shared" si="38"/>
        <v>-</v>
      </c>
      <c r="M221" s="10"/>
    </row>
    <row r="222" spans="2:13" x14ac:dyDescent="0.3">
      <c r="B222" s="772" t="str">
        <f>B161</f>
        <v>Regrind Balls - 1.0" (25mm) within a 5% tolerance</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IF(Intro!$G$20="English",Variables!$B$23,Variables!$C$23)</f>
        <v>tonnes</v>
      </c>
      <c r="C224" s="736"/>
      <c r="D224" s="736"/>
      <c r="E224" s="141"/>
      <c r="F224" s="141"/>
      <c r="G224" s="141"/>
      <c r="H224" s="141"/>
      <c r="I224" s="141"/>
      <c r="J224" s="141"/>
      <c r="K224" s="141"/>
      <c r="L224" s="142"/>
      <c r="M224" s="10"/>
    </row>
    <row r="225" spans="2:13" x14ac:dyDescent="0.3">
      <c r="B225" s="735" t="str">
        <f>IF(Intro!G$20="English","net delivered selling value (CAD)","valeur de vente nette rendue (CAD)")</f>
        <v>net delivered selling value (CAD)</v>
      </c>
      <c r="C225" s="736"/>
      <c r="D225" s="736"/>
      <c r="E225" s="141"/>
      <c r="F225" s="141"/>
      <c r="G225" s="141"/>
      <c r="H225" s="141"/>
      <c r="I225" s="141"/>
      <c r="J225" s="141"/>
      <c r="K225" s="141"/>
      <c r="L225" s="142"/>
      <c r="M225" s="10"/>
    </row>
    <row r="226" spans="2:13" x14ac:dyDescent="0.3">
      <c r="B226" s="735" t="str">
        <f>"$ / "&amp;IF(Intro!$G$20="English",Variables!$B$24,Variables!$C$24)</f>
        <v>$ / tonne</v>
      </c>
      <c r="C226" s="736"/>
      <c r="D226" s="736"/>
      <c r="E226" s="289" t="str">
        <f t="shared" ref="E226:L226" si="39">IF(E224=0,"-",E225/E224)</f>
        <v>-</v>
      </c>
      <c r="F226" s="289" t="str">
        <f t="shared" si="39"/>
        <v>-</v>
      </c>
      <c r="G226" s="289" t="str">
        <f t="shared" si="39"/>
        <v>-</v>
      </c>
      <c r="H226" s="289" t="str">
        <f t="shared" si="39"/>
        <v>-</v>
      </c>
      <c r="I226" s="289" t="str">
        <f t="shared" si="39"/>
        <v>-</v>
      </c>
      <c r="J226" s="289" t="str">
        <f t="shared" si="39"/>
        <v>-</v>
      </c>
      <c r="K226" s="289" t="str">
        <f t="shared" si="39"/>
        <v>-</v>
      </c>
      <c r="L226" s="289" t="str">
        <f t="shared" si="39"/>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IF(Intro!$G$20="English",Variables!$B$23,Variables!$C$23)</f>
        <v>tonnes</v>
      </c>
      <c r="C229" s="736"/>
      <c r="D229" s="736"/>
      <c r="E229" s="141"/>
      <c r="F229" s="141"/>
      <c r="G229" s="141"/>
      <c r="H229" s="141"/>
      <c r="I229" s="141"/>
      <c r="J229" s="141"/>
      <c r="K229" s="141"/>
      <c r="L229" s="142"/>
      <c r="M229" s="10"/>
    </row>
    <row r="230" spans="2:13" hidden="1" x14ac:dyDescent="0.3">
      <c r="B230" s="735" t="str">
        <f>IF(Intro!G$20="English","net delivered selling value (CAD)","valeur de vente nette rendue (CAD)")</f>
        <v>net delivered selling value (CAD)</v>
      </c>
      <c r="C230" s="736"/>
      <c r="D230" s="736"/>
      <c r="E230" s="141"/>
      <c r="F230" s="141"/>
      <c r="G230" s="141"/>
      <c r="H230" s="141"/>
      <c r="I230" s="141"/>
      <c r="J230" s="141"/>
      <c r="K230" s="141"/>
      <c r="L230" s="142"/>
      <c r="M230" s="10"/>
    </row>
    <row r="231" spans="2:13" hidden="1" x14ac:dyDescent="0.3">
      <c r="B231" s="735" t="str">
        <f>"$ / "&amp;IF(Intro!$G$20="English",Variables!$B$24,Variables!$C$24)</f>
        <v>$ / tonne</v>
      </c>
      <c r="C231" s="736"/>
      <c r="D231" s="736"/>
      <c r="E231" s="289" t="str">
        <f t="shared" ref="E231:L231" si="40">IF(E229=0,"-",E230/E229)</f>
        <v>-</v>
      </c>
      <c r="F231" s="289" t="str">
        <f t="shared" si="40"/>
        <v>-</v>
      </c>
      <c r="G231" s="289" t="str">
        <f t="shared" si="40"/>
        <v>-</v>
      </c>
      <c r="H231" s="289" t="str">
        <f t="shared" si="40"/>
        <v>-</v>
      </c>
      <c r="I231" s="289" t="str">
        <f t="shared" si="40"/>
        <v>-</v>
      </c>
      <c r="J231" s="289" t="str">
        <f t="shared" si="40"/>
        <v>-</v>
      </c>
      <c r="K231" s="289" t="str">
        <f t="shared" si="40"/>
        <v>-</v>
      </c>
      <c r="L231" s="289" t="str">
        <f t="shared" si="40"/>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IF(Intro!$G$20="English",Variables!$B$23,Variables!$C$23)</f>
        <v>tonnes</v>
      </c>
      <c r="C234" s="736"/>
      <c r="D234" s="736"/>
      <c r="E234" s="141"/>
      <c r="F234" s="141"/>
      <c r="G234" s="141"/>
      <c r="H234" s="141"/>
      <c r="I234" s="141"/>
      <c r="J234" s="141"/>
      <c r="K234" s="141"/>
      <c r="L234" s="142"/>
      <c r="M234" s="10"/>
    </row>
    <row r="235" spans="2:13" hidden="1" x14ac:dyDescent="0.3">
      <c r="B235" s="735" t="str">
        <f>IF(Intro!G$20="English","net delivered selling value (CAD)","valeur de vente nette rendue (CAD)")</f>
        <v>net delivered selling value (CAD)</v>
      </c>
      <c r="C235" s="736"/>
      <c r="D235" s="736"/>
      <c r="E235" s="141"/>
      <c r="F235" s="141"/>
      <c r="G235" s="141"/>
      <c r="H235" s="141"/>
      <c r="I235" s="141"/>
      <c r="J235" s="141"/>
      <c r="K235" s="141"/>
      <c r="L235" s="142"/>
      <c r="M235" s="10"/>
    </row>
    <row r="236" spans="2:13" hidden="1" x14ac:dyDescent="0.3">
      <c r="B236" s="735" t="str">
        <f>"$ / "&amp;IF(Intro!$G$20="English",Variables!$B$24,Variables!$C$24)</f>
        <v>$ / tonne</v>
      </c>
      <c r="C236" s="736"/>
      <c r="D236" s="736"/>
      <c r="E236" s="289" t="str">
        <f t="shared" ref="E236:L236" si="41">IF(E234=0,"-",E235/E234)</f>
        <v>-</v>
      </c>
      <c r="F236" s="289" t="str">
        <f t="shared" si="41"/>
        <v>-</v>
      </c>
      <c r="G236" s="289" t="str">
        <f t="shared" si="41"/>
        <v>-</v>
      </c>
      <c r="H236" s="289" t="str">
        <f t="shared" si="41"/>
        <v>-</v>
      </c>
      <c r="I236" s="289" t="str">
        <f t="shared" si="41"/>
        <v>-</v>
      </c>
      <c r="J236" s="289" t="str">
        <f t="shared" si="41"/>
        <v>-</v>
      </c>
      <c r="K236" s="289" t="str">
        <f t="shared" si="41"/>
        <v>-</v>
      </c>
      <c r="L236" s="289" t="str">
        <f t="shared" si="41"/>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IF(Intro!$G$20="English",Variables!$B$23,Variables!$C$23)</f>
        <v>tonnes</v>
      </c>
      <c r="C239" s="736"/>
      <c r="D239" s="736"/>
      <c r="E239" s="141"/>
      <c r="F239" s="141"/>
      <c r="G239" s="141"/>
      <c r="H239" s="141"/>
      <c r="I239" s="141"/>
      <c r="J239" s="141"/>
      <c r="K239" s="141"/>
      <c r="L239" s="142"/>
      <c r="M239" s="10"/>
    </row>
    <row r="240" spans="2:13" hidden="1" x14ac:dyDescent="0.3">
      <c r="B240" s="735" t="str">
        <f>IF(Intro!G$20="English","net delivered selling value (CAD)","valeur de vente nette rendue (CAD)")</f>
        <v>net delivered selling value (CAD)</v>
      </c>
      <c r="C240" s="736"/>
      <c r="D240" s="736"/>
      <c r="E240" s="141"/>
      <c r="F240" s="141"/>
      <c r="G240" s="141"/>
      <c r="H240" s="141"/>
      <c r="I240" s="141"/>
      <c r="J240" s="141"/>
      <c r="K240" s="141"/>
      <c r="L240" s="142"/>
      <c r="M240" s="10"/>
    </row>
    <row r="241" spans="1:19" hidden="1" x14ac:dyDescent="0.3">
      <c r="B241" s="735" t="str">
        <f>"$ / "&amp;IF(Intro!$G$20="English",Variables!$B$24,Variables!$C$24)</f>
        <v>$ / tonne</v>
      </c>
      <c r="C241" s="736"/>
      <c r="D241" s="736"/>
      <c r="E241" s="289" t="str">
        <f t="shared" ref="E241:L241" si="42">IF(E239=0,"-",E240/E239)</f>
        <v>-</v>
      </c>
      <c r="F241" s="289" t="str">
        <f t="shared" si="42"/>
        <v>-</v>
      </c>
      <c r="G241" s="289" t="str">
        <f t="shared" si="42"/>
        <v>-</v>
      </c>
      <c r="H241" s="289" t="str">
        <f t="shared" si="42"/>
        <v>-</v>
      </c>
      <c r="I241" s="289" t="str">
        <f t="shared" si="42"/>
        <v>-</v>
      </c>
      <c r="J241" s="289" t="str">
        <f t="shared" si="42"/>
        <v>-</v>
      </c>
      <c r="K241" s="289" t="str">
        <f t="shared" si="42"/>
        <v>-</v>
      </c>
      <c r="L241" s="289" t="str">
        <f t="shared" si="42"/>
        <v>-</v>
      </c>
      <c r="M241" s="10"/>
    </row>
    <row r="242" spans="1:19" x14ac:dyDescent="0.3">
      <c r="B242" s="115"/>
      <c r="C242" s="116"/>
      <c r="D242" s="116"/>
      <c r="E242" s="29"/>
      <c r="F242" s="29"/>
      <c r="G242" s="29"/>
      <c r="H242" s="29"/>
      <c r="I242" s="29"/>
      <c r="J242" s="29"/>
      <c r="K242" s="29"/>
      <c r="L242" s="30"/>
      <c r="M242" s="10"/>
    </row>
    <row r="243" spans="1:19" x14ac:dyDescent="0.3">
      <c r="B243" s="500" t="str">
        <f>IF(Intro!$G$20="English",O243,P243)</f>
        <v>In the table below, “Error” means that the total sales of your firm's benchmark products exceed your firm's total import sales for that period. Therefore, please modify the above data if necessary.</v>
      </c>
      <c r="C243" s="501"/>
      <c r="D243" s="501"/>
      <c r="E243" s="501"/>
      <c r="F243" s="501"/>
      <c r="G243" s="501"/>
      <c r="H243" s="501"/>
      <c r="I243" s="501"/>
      <c r="J243" s="501"/>
      <c r="K243" s="501"/>
      <c r="L243" s="502"/>
      <c r="M243" s="10"/>
      <c r="O243" s="38" t="s">
        <v>368</v>
      </c>
      <c r="P243" s="38" t="s">
        <v>437</v>
      </c>
      <c r="Q243" s="38"/>
      <c r="R243" s="38"/>
      <c r="S243" s="38"/>
    </row>
    <row r="244" spans="1:19" x14ac:dyDescent="0.3">
      <c r="B244" s="500"/>
      <c r="C244" s="501"/>
      <c r="D244" s="501"/>
      <c r="E244" s="501"/>
      <c r="F244" s="501"/>
      <c r="G244" s="501"/>
      <c r="H244" s="501"/>
      <c r="I244" s="501"/>
      <c r="J244" s="501"/>
      <c r="K244" s="501"/>
      <c r="L244" s="502"/>
      <c r="M244" s="10"/>
      <c r="O244" s="38"/>
      <c r="P244" s="38"/>
      <c r="Q244" s="38"/>
      <c r="R244" s="38"/>
      <c r="S244" s="38"/>
    </row>
    <row r="245" spans="1:19" x14ac:dyDescent="0.3">
      <c r="B245" s="61"/>
      <c r="C245" s="62"/>
      <c r="D245" s="62"/>
      <c r="E245" s="29"/>
      <c r="F245" s="29"/>
      <c r="G245" s="29"/>
      <c r="H245" s="29"/>
      <c r="I245" s="29"/>
      <c r="J245" s="29"/>
      <c r="K245" s="29"/>
      <c r="L245" s="30"/>
      <c r="M245" s="10"/>
      <c r="O245" s="38"/>
      <c r="P245" s="38"/>
      <c r="Q245" s="38"/>
      <c r="R245" s="38"/>
      <c r="S245" s="38"/>
    </row>
    <row r="246" spans="1:19" ht="14.1" customHeight="1" x14ac:dyDescent="0.3">
      <c r="B246" s="763" t="str">
        <f>Variables!D62</f>
        <v>Verification - volume</v>
      </c>
      <c r="C246" s="764"/>
      <c r="D246" s="764"/>
      <c r="E246" s="764"/>
      <c r="F246" s="765"/>
      <c r="G246" s="221">
        <f>G185</f>
        <v>2024</v>
      </c>
      <c r="H246" s="221">
        <f>H185</f>
        <v>2025</v>
      </c>
      <c r="I246" s="221" t="str">
        <f>I185</f>
        <v>Q1 - 2026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Okay</v>
      </c>
      <c r="H247" s="232" t="str">
        <f>IF(SUM(H204:K204,H209:K209,H214:K214,H219:K219,H224:K224,H229:K229,H234:K234,H239:K239)&gt;SUM(I37,I53,I69),Variables!$D$63,Variables!$D$64)</f>
        <v>Okay</v>
      </c>
      <c r="I247" s="232" t="str">
        <f>IF(SUM(L204,L209,L214,L219,L224,L229,L234,L239)&gt;SUM(K37,K53,K69),Variables!$D$63,Variables!$D$64)</f>
        <v>Okay</v>
      </c>
      <c r="J247" s="291"/>
      <c r="K247" s="291"/>
      <c r="L247" s="292"/>
      <c r="M247" s="10"/>
    </row>
    <row r="248" spans="1:19" ht="14.1" customHeight="1" x14ac:dyDescent="0.3">
      <c r="B248" s="783" t="str">
        <f>IF(Intro!$G$20="English",O248,P248)</f>
        <v>volume - total sales in Canada of imports of benchmark products (Question 4)</v>
      </c>
      <c r="C248" s="784"/>
      <c r="D248" s="784"/>
      <c r="E248" s="784"/>
      <c r="F248" s="785"/>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3" t="str">
        <f>IF(Intro!$G$20="English",O249,P249)</f>
        <v>volume - total sales in Canada of imports (Question 1)</v>
      </c>
      <c r="C249" s="784"/>
      <c r="D249" s="784"/>
      <c r="E249" s="784"/>
      <c r="F249" s="785"/>
      <c r="G249" s="232">
        <f>H37</f>
        <v>0</v>
      </c>
      <c r="H249" s="232">
        <f>I37</f>
        <v>0</v>
      </c>
      <c r="I249" s="232">
        <f>K37</f>
        <v>0</v>
      </c>
      <c r="J249" s="291"/>
      <c r="K249" s="291"/>
      <c r="L249" s="292"/>
      <c r="M249" s="10"/>
      <c r="O249" s="10" t="s">
        <v>499</v>
      </c>
      <c r="P249" s="10" t="s">
        <v>501</v>
      </c>
    </row>
    <row r="250" spans="1:19" x14ac:dyDescent="0.3">
      <c r="B250" s="763" t="str">
        <f>Variables!D66</f>
        <v>Verification - value</v>
      </c>
      <c r="C250" s="764"/>
      <c r="D250" s="764"/>
      <c r="E250" s="764"/>
      <c r="F250" s="765"/>
      <c r="G250" s="221">
        <f>G246</f>
        <v>2024</v>
      </c>
      <c r="H250" s="221">
        <f t="shared" ref="H250:I250" si="43">H246</f>
        <v>2025</v>
      </c>
      <c r="I250" s="221" t="str">
        <f t="shared" si="43"/>
        <v>Q1 - 2026</v>
      </c>
      <c r="J250" s="291"/>
      <c r="K250" s="291"/>
      <c r="L250" s="292"/>
      <c r="M250" s="10"/>
    </row>
    <row r="251" spans="1:19" ht="14.1" customHeight="1" x14ac:dyDescent="0.3">
      <c r="B251" s="760" t="str">
        <f>B205</f>
        <v>net delivered selling value (CAD)</v>
      </c>
      <c r="C251" s="761"/>
      <c r="D251" s="761"/>
      <c r="E251" s="761"/>
      <c r="F251" s="762"/>
      <c r="G251" s="232" t="str">
        <f>IF(SUM(E205:G205,E210:G210,E215:G215,E220:G220,E225:G225,E230:G230,E235:G235,E240:G240)&gt;SUM(H38,H54,H70),Variables!$D$63,Variables!$D$64)</f>
        <v>Okay</v>
      </c>
      <c r="H251" s="232" t="str">
        <f>IF(SUM(H205:K205,H210:K210,H215:K215,H220:K220,H225:K225,H230:K230,H235:K235,H240:K240)&gt;SUM(I38,I54,I70),Variables!$D$63,Variables!$D$64)</f>
        <v>Okay</v>
      </c>
      <c r="I251" s="232" t="str">
        <f>IF(SUM(L205,L210,L215,L220,L225,L230,L235,L240)&gt;SUM(K38,K54,K70),Variables!$D$63,Variables!$D$64)</f>
        <v>Okay</v>
      </c>
      <c r="J251" s="291"/>
      <c r="K251" s="291"/>
      <c r="L251" s="292"/>
      <c r="M251" s="10"/>
    </row>
    <row r="252" spans="1:19" ht="14.1" customHeight="1" x14ac:dyDescent="0.3">
      <c r="B252" s="783" t="str">
        <f>IF(Intro!$G$20="English",O252,P252)</f>
        <v>value - total sales in Canada of imports of benchmark products (Question 4)</v>
      </c>
      <c r="C252" s="784"/>
      <c r="D252" s="784"/>
      <c r="E252" s="784"/>
      <c r="F252" s="785"/>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3" t="str">
        <f>IF(Intro!$G$20="English",O253,P253)</f>
        <v>value - total sales in Canada of imports (Question 1)</v>
      </c>
      <c r="C253" s="784"/>
      <c r="D253" s="784"/>
      <c r="E253" s="784"/>
      <c r="F253" s="785"/>
      <c r="G253" s="232">
        <f>H38</f>
        <v>0</v>
      </c>
      <c r="H253" s="232">
        <f>I38</f>
        <v>0</v>
      </c>
      <c r="I253" s="232">
        <f>K38</f>
        <v>0</v>
      </c>
      <c r="J253" s="291"/>
      <c r="K253" s="291"/>
      <c r="L253" s="292"/>
      <c r="M253" s="10"/>
      <c r="O253" s="10" t="s">
        <v>505</v>
      </c>
      <c r="P253" s="10" t="s">
        <v>503</v>
      </c>
    </row>
    <row r="254" spans="1:19" x14ac:dyDescent="0.3">
      <c r="B254" s="72"/>
      <c r="C254" s="69"/>
      <c r="D254" s="69"/>
      <c r="E254" s="69"/>
      <c r="F254" s="69"/>
      <c r="G254" s="69"/>
      <c r="H254" s="69"/>
      <c r="I254" s="69"/>
      <c r="J254" s="69"/>
      <c r="K254" s="69"/>
      <c r="L254" s="70"/>
      <c r="M254" s="10"/>
    </row>
    <row r="255" spans="1:19" s="44" customFormat="1" x14ac:dyDescent="0.3">
      <c r="A255" s="93"/>
      <c r="B255" s="4"/>
      <c r="C255" s="77"/>
      <c r="D255" s="77"/>
      <c r="E255" s="77"/>
      <c r="F255" s="77"/>
      <c r="G255" s="77"/>
      <c r="H255" s="77"/>
      <c r="I255" s="77"/>
      <c r="J255" s="77"/>
      <c r="K255" s="77"/>
      <c r="L255" s="77"/>
      <c r="N255" s="78"/>
    </row>
    <row r="256" spans="1:19" x14ac:dyDescent="0.3">
      <c r="B256" s="506" t="str">
        <f>UPPER(IF(Intro!$G$20="English",O256,P256))</f>
        <v>IMPORT DATA FOR CBSA PERIOD OF DUMPING INVESTIGATION</v>
      </c>
      <c r="C256" s="507"/>
      <c r="D256" s="507"/>
      <c r="E256" s="507"/>
      <c r="F256" s="507"/>
      <c r="G256" s="507"/>
      <c r="H256" s="507"/>
      <c r="I256" s="507"/>
      <c r="J256" s="507"/>
      <c r="K256" s="507"/>
      <c r="L256" s="508"/>
      <c r="M256" s="10"/>
      <c r="O256" s="107" t="s">
        <v>336</v>
      </c>
      <c r="P256" s="107" t="s">
        <v>337</v>
      </c>
    </row>
    <row r="257" spans="1:16" s="11" customFormat="1" x14ac:dyDescent="0.3">
      <c r="A257" s="7"/>
      <c r="B257" s="647" t="s">
        <v>18</v>
      </c>
      <c r="C257" s="648"/>
      <c r="D257" s="648"/>
      <c r="E257" s="648"/>
      <c r="F257" s="648"/>
      <c r="G257" s="648"/>
      <c r="H257" s="648"/>
      <c r="I257" s="648"/>
      <c r="J257" s="648"/>
      <c r="K257" s="648"/>
      <c r="L257" s="649"/>
      <c r="M257" s="73"/>
      <c r="O257" s="10"/>
    </row>
    <row r="258" spans="1:16" x14ac:dyDescent="0.3">
      <c r="B258" s="16"/>
      <c r="C258" s="35"/>
      <c r="D258" s="35"/>
      <c r="E258" s="36"/>
      <c r="F258" s="36"/>
      <c r="G258" s="36"/>
      <c r="H258" s="36"/>
      <c r="I258" s="36"/>
      <c r="J258" s="36"/>
      <c r="K258" s="36"/>
      <c r="L258" s="17"/>
      <c r="M258" s="10"/>
    </row>
    <row r="259" spans="1:16" x14ac:dyDescent="0.3">
      <c r="B259" s="503" t="str">
        <f>IF(Intro!$G$20="English",O259,P259)</f>
        <v xml:space="preserve">Report the volume and value of imports during CBSA's period of dumping investigation : </v>
      </c>
      <c r="C259" s="504"/>
      <c r="D259" s="504"/>
      <c r="E259" s="504"/>
      <c r="F259" s="504"/>
      <c r="G259" s="504"/>
      <c r="H259" s="504"/>
      <c r="I259" s="504"/>
      <c r="J259" s="504"/>
      <c r="K259" s="504"/>
      <c r="L259" s="505"/>
      <c r="M259" s="10"/>
      <c r="O259" s="18" t="s">
        <v>198</v>
      </c>
      <c r="P259" s="10" t="s">
        <v>199</v>
      </c>
    </row>
    <row r="260" spans="1:16" x14ac:dyDescent="0.3">
      <c r="B260" s="61"/>
      <c r="C260" s="35"/>
      <c r="D260" s="35"/>
      <c r="E260" s="36"/>
      <c r="F260" s="36"/>
      <c r="G260" s="36"/>
      <c r="H260" s="36"/>
      <c r="I260" s="36"/>
      <c r="J260" s="36"/>
      <c r="K260" s="36"/>
      <c r="L260" s="17"/>
      <c r="M260" s="10"/>
      <c r="O260" s="18"/>
    </row>
    <row r="261" spans="1:16" ht="14.4" customHeight="1" x14ac:dyDescent="0.3">
      <c r="B261" s="48"/>
      <c r="C261" s="45"/>
      <c r="D261" s="35"/>
      <c r="E261" s="10"/>
      <c r="F261" s="796" t="str">
        <f>IF(Intro!$G$20="English",Variables!B39,Variables!C39)</f>
        <v>October 1, 2024 - September 30, 2025</v>
      </c>
      <c r="G261" s="796"/>
      <c r="H261" s="796"/>
      <c r="I261" s="291"/>
      <c r="J261" s="291"/>
      <c r="K261" s="291"/>
      <c r="L261" s="292"/>
      <c r="M261" s="10"/>
      <c r="O261" s="47"/>
      <c r="P261" s="9"/>
    </row>
    <row r="262" spans="1:16" x14ac:dyDescent="0.3">
      <c r="B262" s="540" t="str">
        <f>B27</f>
        <v>Imports</v>
      </c>
      <c r="C262" s="736" t="str">
        <f>IF(Intro!$G$20="English",Variables!$B$23,Variables!$C$23)</f>
        <v>tonnes</v>
      </c>
      <c r="D262" s="736"/>
      <c r="E262" s="782"/>
      <c r="F262" s="795"/>
      <c r="G262" s="795"/>
      <c r="H262" s="795"/>
      <c r="I262" s="291"/>
      <c r="J262" s="291"/>
      <c r="K262" s="291"/>
      <c r="L262" s="292"/>
      <c r="M262" s="10"/>
    </row>
    <row r="263" spans="1:16" x14ac:dyDescent="0.3">
      <c r="B263" s="540"/>
      <c r="C263" s="736" t="str">
        <f>IF(Intro!G$20="English","net delivered purchase value (CAD)","valeur d'achat nette rendue (CAD)")</f>
        <v>net delivered purchase value (CAD)</v>
      </c>
      <c r="D263" s="736"/>
      <c r="E263" s="782"/>
      <c r="F263" s="795"/>
      <c r="G263" s="795"/>
      <c r="H263" s="795"/>
      <c r="I263" s="291"/>
      <c r="J263" s="291"/>
      <c r="K263" s="291"/>
      <c r="L263" s="292"/>
      <c r="M263" s="10"/>
    </row>
    <row r="264" spans="1:16" x14ac:dyDescent="0.3">
      <c r="B264" s="540"/>
      <c r="C264" s="736" t="str">
        <f>"$ / "&amp;IF(Intro!$G$20="English",Variables!$B$24,Variables!$C$24)</f>
        <v>$ / tonne</v>
      </c>
      <c r="D264" s="736"/>
      <c r="E264" s="782"/>
      <c r="F264" s="794" t="str">
        <f>IF(F262=0,"-",F263/F262)</f>
        <v>-</v>
      </c>
      <c r="G264" s="794"/>
      <c r="H264" s="794"/>
      <c r="I264" s="291"/>
      <c r="J264" s="291"/>
      <c r="K264" s="291"/>
      <c r="L264" s="292"/>
      <c r="M264" s="10"/>
    </row>
    <row r="265" spans="1:16" x14ac:dyDescent="0.3">
      <c r="B265" s="46"/>
      <c r="C265" s="117"/>
      <c r="D265" s="64"/>
      <c r="E265" s="34"/>
      <c r="F265" s="34"/>
      <c r="G265" s="34"/>
      <c r="H265" s="34"/>
      <c r="I265" s="34"/>
      <c r="J265" s="34"/>
      <c r="K265" s="34"/>
      <c r="L265" s="37"/>
      <c r="M265" s="10"/>
    </row>
    <row r="266" spans="1:16" s="44" customFormat="1" x14ac:dyDescent="0.3">
      <c r="A266" s="93"/>
      <c r="B266" s="4"/>
      <c r="C266" s="77"/>
      <c r="D266" s="77"/>
      <c r="E266" s="77"/>
      <c r="F266" s="77"/>
      <c r="G266" s="77"/>
      <c r="H266" s="77"/>
      <c r="I266" s="77"/>
      <c r="J266" s="77"/>
      <c r="K266" s="77"/>
      <c r="L266" s="77"/>
      <c r="N266" s="78"/>
    </row>
    <row r="267" spans="1:16" x14ac:dyDescent="0.3">
      <c r="B267" s="506" t="str">
        <f>IF(Intro!$G$20="English",O267,P267)</f>
        <v>IMPORT DATA FOR MASSIVE IMPORTATION ANALYSIS</v>
      </c>
      <c r="C267" s="507"/>
      <c r="D267" s="507"/>
      <c r="E267" s="507"/>
      <c r="F267" s="507"/>
      <c r="G267" s="507"/>
      <c r="H267" s="507"/>
      <c r="I267" s="507"/>
      <c r="J267" s="507"/>
      <c r="K267" s="507"/>
      <c r="L267" s="508"/>
      <c r="M267" s="159"/>
      <c r="O267" s="107" t="s">
        <v>338</v>
      </c>
      <c r="P267" s="107" t="s">
        <v>438</v>
      </c>
    </row>
    <row r="268" spans="1:16" s="11" customFormat="1" x14ac:dyDescent="0.3">
      <c r="A268" s="7"/>
      <c r="B268" s="647" t="s">
        <v>19</v>
      </c>
      <c r="C268" s="648"/>
      <c r="D268" s="648"/>
      <c r="E268" s="648"/>
      <c r="F268" s="648"/>
      <c r="G268" s="648"/>
      <c r="H268" s="648"/>
      <c r="I268" s="648"/>
      <c r="J268" s="648"/>
      <c r="K268" s="648"/>
      <c r="L268" s="649"/>
      <c r="M268" s="160"/>
      <c r="O268" s="10"/>
    </row>
    <row r="269" spans="1:16" x14ac:dyDescent="0.3">
      <c r="B269" s="16"/>
      <c r="C269" s="35"/>
      <c r="D269" s="35"/>
      <c r="E269" s="36"/>
      <c r="F269" s="36"/>
      <c r="G269" s="36"/>
      <c r="H269" s="36"/>
      <c r="I269" s="36"/>
      <c r="J269" s="36"/>
      <c r="K269" s="36"/>
      <c r="L269" s="17"/>
      <c r="M269" s="160"/>
    </row>
    <row r="270" spans="1:16" x14ac:dyDescent="0.3">
      <c r="B270" s="503" t="str">
        <f>IF(Intro!$G$20="English",O270,P270)</f>
        <v>Report the volume of imports and the ending inventory in Canada of the goods imported from the United States of America.</v>
      </c>
      <c r="C270" s="504"/>
      <c r="D270" s="504"/>
      <c r="E270" s="504"/>
      <c r="F270" s="504"/>
      <c r="G270" s="504"/>
      <c r="H270" s="504"/>
      <c r="I270" s="504"/>
      <c r="J270" s="504"/>
      <c r="K270" s="504"/>
      <c r="L270" s="505"/>
      <c r="M270" s="159"/>
      <c r="O270" s="18" t="s">
        <v>530</v>
      </c>
      <c r="P270" s="10" t="s">
        <v>533</v>
      </c>
    </row>
    <row r="271" spans="1:16" x14ac:dyDescent="0.3">
      <c r="B271" s="61"/>
      <c r="C271" s="35"/>
      <c r="D271" s="35"/>
      <c r="E271" s="36"/>
      <c r="F271" s="36"/>
      <c r="G271" s="36"/>
      <c r="H271" s="36"/>
      <c r="I271" s="36"/>
      <c r="J271" s="36"/>
      <c r="K271" s="36"/>
      <c r="L271" s="17"/>
      <c r="M271" s="10"/>
      <c r="O271" s="18"/>
    </row>
    <row r="272" spans="1:16" x14ac:dyDescent="0.3">
      <c r="B272" s="61"/>
      <c r="C272" s="62"/>
      <c r="D272" s="35"/>
      <c r="E272" s="223" t="str">
        <f>H201</f>
        <v>Q1 - 2025</v>
      </c>
      <c r="F272" s="279" t="str">
        <f>I201</f>
        <v>Q2 - 2025</v>
      </c>
      <c r="G272" s="279" t="str">
        <f>J201</f>
        <v>Q3 - 2025</v>
      </c>
      <c r="H272" s="279" t="str">
        <f>K201</f>
        <v>Q4 - 2025</v>
      </c>
      <c r="I272" s="490" t="str">
        <f>L201</f>
        <v>Q1 - 2026</v>
      </c>
      <c r="J272" s="36"/>
      <c r="K272" s="36"/>
      <c r="L272" s="17"/>
      <c r="M272" s="10"/>
      <c r="O272" s="18"/>
    </row>
    <row r="273" spans="1:19" x14ac:dyDescent="0.3">
      <c r="B273" s="750" t="str">
        <f>B27</f>
        <v>Imports</v>
      </c>
      <c r="C273" s="751"/>
      <c r="D273" s="149" t="str">
        <f>IF(Intro!$G$20="English",Variables!$B$23,Variables!$C$23)</f>
        <v>tonnes</v>
      </c>
      <c r="E273" s="227"/>
      <c r="F273" s="227"/>
      <c r="G273" s="227"/>
      <c r="H273" s="227"/>
      <c r="I273" s="227"/>
      <c r="J273" s="36"/>
      <c r="K273" s="36"/>
      <c r="L273" s="17"/>
      <c r="M273" s="10"/>
    </row>
    <row r="274" spans="1:19" x14ac:dyDescent="0.3">
      <c r="B274" s="750" t="str">
        <f>IF(Intro!$G$20="English",O274,P274)</f>
        <v>Ending Inventories</v>
      </c>
      <c r="C274" s="751"/>
      <c r="D274" s="149" t="str">
        <f>IF(Intro!$G$20="English",Variables!$B$23,Variables!$C$23)</f>
        <v>tonnes</v>
      </c>
      <c r="E274" s="227"/>
      <c r="F274" s="227"/>
      <c r="G274" s="227"/>
      <c r="H274" s="227"/>
      <c r="I274" s="227"/>
      <c r="J274" s="36"/>
      <c r="K274" s="36"/>
      <c r="L274" s="17"/>
      <c r="M274" s="10"/>
      <c r="O274" s="10" t="s">
        <v>194</v>
      </c>
      <c r="P274" s="10" t="s">
        <v>439</v>
      </c>
    </row>
    <row r="275" spans="1:19" x14ac:dyDescent="0.3">
      <c r="B275" s="273"/>
      <c r="C275" s="35"/>
      <c r="D275" s="35"/>
      <c r="E275" s="36"/>
      <c r="F275" s="36"/>
      <c r="G275" s="36"/>
      <c r="H275" s="36"/>
      <c r="I275" s="36"/>
      <c r="J275" s="36"/>
      <c r="K275" s="36"/>
      <c r="L275" s="17"/>
      <c r="M275" s="10"/>
      <c r="O275" s="18"/>
    </row>
    <row r="276" spans="1:19" x14ac:dyDescent="0.3">
      <c r="B276" s="273"/>
      <c r="C276" s="274"/>
      <c r="D276" s="35"/>
      <c r="E276" s="294">
        <f>Variables!B45</f>
        <v>45748</v>
      </c>
      <c r="F276" s="36"/>
      <c r="G276" s="294">
        <f>Variables!C45</f>
        <v>45901</v>
      </c>
      <c r="H276" s="36"/>
      <c r="I276" s="294">
        <f>Variables!D45</f>
        <v>46113</v>
      </c>
      <c r="K276" s="36"/>
      <c r="L276" s="17"/>
      <c r="M276" s="10"/>
      <c r="O276" s="18"/>
    </row>
    <row r="277" spans="1:19" x14ac:dyDescent="0.3">
      <c r="B277" s="750" t="str">
        <f>B273</f>
        <v>Imports</v>
      </c>
      <c r="C277" s="751"/>
      <c r="D277" s="281" t="str">
        <f>D273</f>
        <v>tonnes</v>
      </c>
      <c r="E277" s="227"/>
      <c r="F277" s="36"/>
      <c r="G277" s="227"/>
      <c r="H277" s="36"/>
      <c r="I277" s="227"/>
      <c r="K277" s="36"/>
      <c r="L277" s="17"/>
      <c r="M277" s="10"/>
    </row>
    <row r="278" spans="1:19" x14ac:dyDescent="0.3">
      <c r="B278" s="750" t="str">
        <f>IF(Intro!$G$20="English",O278,P278)</f>
        <v>Ending Inventories</v>
      </c>
      <c r="C278" s="751"/>
      <c r="D278" s="281" t="str">
        <f>D274</f>
        <v>tonnes</v>
      </c>
      <c r="E278" s="227"/>
      <c r="F278" s="36"/>
      <c r="G278" s="227"/>
      <c r="H278" s="36"/>
      <c r="I278" s="227"/>
      <c r="K278" s="36"/>
      <c r="L278" s="17"/>
      <c r="M278" s="10"/>
      <c r="O278" s="10" t="s">
        <v>194</v>
      </c>
      <c r="P278" s="10" t="s">
        <v>439</v>
      </c>
    </row>
    <row r="279" spans="1:19" x14ac:dyDescent="0.3">
      <c r="B279" s="218"/>
      <c r="C279" s="219"/>
      <c r="D279" s="219"/>
      <c r="E279" s="29"/>
      <c r="F279" s="29"/>
      <c r="G279" s="29"/>
      <c r="H279" s="29"/>
      <c r="I279" s="36"/>
      <c r="J279" s="29"/>
      <c r="K279" s="29"/>
      <c r="L279" s="30"/>
      <c r="M279" s="10"/>
    </row>
    <row r="280" spans="1:19" x14ac:dyDescent="0.3">
      <c r="B280" s="500" t="str">
        <f>IF(Intro!$G$20="English",O280,P280)</f>
        <v>In the table below, “Error” means that the sum of the quarterly imports reported above exceeds the annual imports reported in Question 1. Therefore, please modify the data if necessary.</v>
      </c>
      <c r="C280" s="501"/>
      <c r="D280" s="501"/>
      <c r="E280" s="501"/>
      <c r="F280" s="501"/>
      <c r="G280" s="501"/>
      <c r="H280" s="501"/>
      <c r="I280" s="501"/>
      <c r="J280" s="501"/>
      <c r="K280" s="501"/>
      <c r="L280" s="502"/>
      <c r="M280" s="10"/>
      <c r="O280" s="10" t="s">
        <v>516</v>
      </c>
      <c r="P280" s="10" t="s">
        <v>517</v>
      </c>
      <c r="S280" s="38"/>
    </row>
    <row r="281" spans="1:19" x14ac:dyDescent="0.3">
      <c r="B281" s="500"/>
      <c r="C281" s="501"/>
      <c r="D281" s="501"/>
      <c r="E281" s="501"/>
      <c r="F281" s="501"/>
      <c r="G281" s="501"/>
      <c r="H281" s="501"/>
      <c r="I281" s="501"/>
      <c r="J281" s="501"/>
      <c r="K281" s="501"/>
      <c r="L281" s="502"/>
      <c r="M281" s="10"/>
      <c r="S281" s="38"/>
    </row>
    <row r="282" spans="1:19" x14ac:dyDescent="0.3">
      <c r="B282" s="215"/>
      <c r="C282" s="216"/>
      <c r="D282" s="216"/>
      <c r="E282" s="216"/>
      <c r="F282" s="216"/>
      <c r="G282" s="216"/>
      <c r="H282" s="216"/>
      <c r="I282" s="216"/>
      <c r="J282" s="216"/>
      <c r="K282" s="216"/>
      <c r="L282" s="217"/>
      <c r="M282" s="10"/>
      <c r="S282" s="38"/>
    </row>
    <row r="283" spans="1:19" x14ac:dyDescent="0.3">
      <c r="B283" s="237"/>
      <c r="C283" s="224"/>
      <c r="D283" s="238"/>
      <c r="E283" s="45"/>
      <c r="F283" s="221">
        <f>G283-1</f>
        <v>2025</v>
      </c>
      <c r="G283" s="221">
        <f>Variables!B8</f>
        <v>2026</v>
      </c>
      <c r="H283" s="295"/>
      <c r="I283" s="291"/>
      <c r="J283" s="291"/>
      <c r="K283" s="291"/>
      <c r="L283" s="296"/>
      <c r="M283" s="10"/>
      <c r="O283" s="18"/>
    </row>
    <row r="284" spans="1:19" ht="14.85" customHeight="1" x14ac:dyDescent="0.3">
      <c r="B284" s="237"/>
      <c r="C284" s="243"/>
      <c r="D284" s="786" t="str">
        <f>B246</f>
        <v>Verification - volume</v>
      </c>
      <c r="E284" s="787"/>
      <c r="F284" s="232" t="str">
        <f>IF(SUM(E273:H273)&gt;SUM(I43,I59,I27),Variables!$D$63,Variables!$D$64)</f>
        <v>Okay</v>
      </c>
      <c r="G284" s="232" t="str">
        <f>IF(SUM(I273)&gt;SUM(K27,K43,K59),Variables!$D$63,Variables!$D$64)</f>
        <v>Okay</v>
      </c>
      <c r="H284" s="295"/>
      <c r="I284" s="291"/>
      <c r="J284" s="291"/>
      <c r="K284" s="291"/>
      <c r="L284" s="296"/>
      <c r="M284" s="10"/>
    </row>
    <row r="285" spans="1:19" s="44" customFormat="1" x14ac:dyDescent="0.3">
      <c r="A285" s="93"/>
      <c r="B285" s="239"/>
      <c r="C285" s="240"/>
      <c r="D285" s="241"/>
      <c r="E285" s="241"/>
      <c r="F285" s="241"/>
      <c r="G285" s="241"/>
      <c r="H285" s="241"/>
      <c r="I285" s="241"/>
      <c r="J285" s="241"/>
      <c r="K285" s="241"/>
      <c r="L285" s="242"/>
      <c r="N285" s="78"/>
    </row>
    <row r="286" spans="1:19" s="11" customFormat="1" x14ac:dyDescent="0.3">
      <c r="A286" s="7"/>
      <c r="B286" s="650" t="s">
        <v>20</v>
      </c>
      <c r="C286" s="651"/>
      <c r="D286" s="651"/>
      <c r="E286" s="651"/>
      <c r="F286" s="651"/>
      <c r="G286" s="651"/>
      <c r="H286" s="651"/>
      <c r="I286" s="651"/>
      <c r="J286" s="651"/>
      <c r="K286" s="651"/>
      <c r="L286" s="652"/>
      <c r="M286" s="73"/>
    </row>
    <row r="287" spans="1:19" s="38" customFormat="1" x14ac:dyDescent="0.3">
      <c r="A287" s="49"/>
      <c r="B287" s="53"/>
      <c r="C287" s="94"/>
      <c r="D287" s="94"/>
      <c r="E287" s="94"/>
      <c r="F287" s="94"/>
      <c r="G287" s="94"/>
      <c r="H287" s="94"/>
      <c r="I287" s="94"/>
      <c r="J287" s="94"/>
      <c r="K287" s="94"/>
      <c r="L287" s="54"/>
    </row>
    <row r="288" spans="1:19" s="38" customFormat="1" x14ac:dyDescent="0.3">
      <c r="A288" s="49"/>
      <c r="B288" s="500" t="str">
        <f>IF(Intro!$G$20="English",O288,P288)</f>
        <v xml:space="preserve">Describe any factors (for example, shipping delays, seasonality, etc.) which would explain the overall trend in your firm's quarterly import volumes and ending inventories, as reported in Question 5. </v>
      </c>
      <c r="C288" s="501"/>
      <c r="D288" s="501"/>
      <c r="E288" s="501"/>
      <c r="F288" s="501"/>
      <c r="G288" s="501"/>
      <c r="H288" s="501"/>
      <c r="I288" s="501"/>
      <c r="J288" s="501"/>
      <c r="K288" s="501"/>
      <c r="L288" s="502"/>
      <c r="O288" s="38" t="s">
        <v>212</v>
      </c>
      <c r="P288" s="38" t="s">
        <v>213</v>
      </c>
    </row>
    <row r="289" spans="1:13" s="38" customFormat="1" x14ac:dyDescent="0.3">
      <c r="A289" s="49"/>
      <c r="B289" s="500"/>
      <c r="C289" s="501"/>
      <c r="D289" s="501"/>
      <c r="E289" s="501"/>
      <c r="F289" s="501"/>
      <c r="G289" s="501"/>
      <c r="H289" s="501"/>
      <c r="I289" s="501"/>
      <c r="J289" s="501"/>
      <c r="K289" s="501"/>
      <c r="L289" s="502"/>
    </row>
    <row r="290" spans="1:13" s="38" customFormat="1" x14ac:dyDescent="0.3">
      <c r="A290" s="49"/>
      <c r="B290" s="53"/>
      <c r="C290" s="94"/>
      <c r="D290" s="94"/>
      <c r="E290" s="94"/>
      <c r="F290" s="94"/>
      <c r="G290" s="94"/>
      <c r="H290" s="94"/>
      <c r="I290" s="94"/>
      <c r="J290" s="94"/>
      <c r="K290" s="94"/>
      <c r="L290" s="54"/>
    </row>
    <row r="291" spans="1:13" s="11" customFormat="1" x14ac:dyDescent="0.3">
      <c r="A291" s="8"/>
      <c r="B291" s="639"/>
      <c r="C291" s="640"/>
      <c r="D291" s="640"/>
      <c r="E291" s="640"/>
      <c r="F291" s="640"/>
      <c r="G291" s="640"/>
      <c r="H291" s="640"/>
      <c r="I291" s="640"/>
      <c r="J291" s="640"/>
      <c r="K291" s="640"/>
      <c r="L291" s="641"/>
      <c r="M291" s="38"/>
    </row>
    <row r="292" spans="1:13" s="11" customFormat="1" x14ac:dyDescent="0.3">
      <c r="A292" s="8"/>
      <c r="B292" s="639"/>
      <c r="C292" s="640"/>
      <c r="D292" s="640"/>
      <c r="E292" s="640"/>
      <c r="F292" s="640"/>
      <c r="G292" s="640"/>
      <c r="H292" s="640"/>
      <c r="I292" s="640"/>
      <c r="J292" s="640"/>
      <c r="K292" s="640"/>
      <c r="L292" s="641"/>
      <c r="M292" s="38"/>
    </row>
    <row r="293" spans="1:13" s="11" customFormat="1" x14ac:dyDescent="0.3">
      <c r="A293" s="8"/>
      <c r="B293" s="639"/>
      <c r="C293" s="640"/>
      <c r="D293" s="640"/>
      <c r="E293" s="640"/>
      <c r="F293" s="640"/>
      <c r="G293" s="640"/>
      <c r="H293" s="640"/>
      <c r="I293" s="640"/>
      <c r="J293" s="640"/>
      <c r="K293" s="640"/>
      <c r="L293" s="641"/>
      <c r="M293" s="38"/>
    </row>
    <row r="294" spans="1:13" s="11" customFormat="1" x14ac:dyDescent="0.3">
      <c r="A294" s="8"/>
      <c r="B294" s="639"/>
      <c r="C294" s="640"/>
      <c r="D294" s="640"/>
      <c r="E294" s="640"/>
      <c r="F294" s="640"/>
      <c r="G294" s="640"/>
      <c r="H294" s="640"/>
      <c r="I294" s="640"/>
      <c r="J294" s="640"/>
      <c r="K294" s="640"/>
      <c r="L294" s="641"/>
      <c r="M294" s="38"/>
    </row>
    <row r="295" spans="1:13" s="11" customFormat="1" x14ac:dyDescent="0.3">
      <c r="A295" s="8"/>
      <c r="B295" s="639"/>
      <c r="C295" s="640"/>
      <c r="D295" s="640"/>
      <c r="E295" s="640"/>
      <c r="F295" s="640"/>
      <c r="G295" s="640"/>
      <c r="H295" s="640"/>
      <c r="I295" s="640"/>
      <c r="J295" s="640"/>
      <c r="K295" s="640"/>
      <c r="L295" s="641"/>
      <c r="M295" s="38"/>
    </row>
    <row r="296" spans="1:13" s="11" customFormat="1" x14ac:dyDescent="0.3">
      <c r="A296" s="8"/>
      <c r="B296" s="639"/>
      <c r="C296" s="640"/>
      <c r="D296" s="640"/>
      <c r="E296" s="640"/>
      <c r="F296" s="640"/>
      <c r="G296" s="640"/>
      <c r="H296" s="640"/>
      <c r="I296" s="640"/>
      <c r="J296" s="640"/>
      <c r="K296" s="640"/>
      <c r="L296" s="641"/>
      <c r="M296" s="38"/>
    </row>
    <row r="297" spans="1:13" s="11" customFormat="1" x14ac:dyDescent="0.3">
      <c r="A297" s="8"/>
      <c r="B297" s="639"/>
      <c r="C297" s="640"/>
      <c r="D297" s="640"/>
      <c r="E297" s="640"/>
      <c r="F297" s="640"/>
      <c r="G297" s="640"/>
      <c r="H297" s="640"/>
      <c r="I297" s="640"/>
      <c r="J297" s="640"/>
      <c r="K297" s="640"/>
      <c r="L297" s="641"/>
      <c r="M297" s="38"/>
    </row>
    <row r="298" spans="1:13" s="11" customFormat="1" x14ac:dyDescent="0.3">
      <c r="A298" s="8"/>
      <c r="B298" s="639"/>
      <c r="C298" s="640"/>
      <c r="D298" s="640"/>
      <c r="E298" s="640"/>
      <c r="F298" s="640"/>
      <c r="G298" s="640"/>
      <c r="H298" s="640"/>
      <c r="I298" s="640"/>
      <c r="J298" s="640"/>
      <c r="K298" s="640"/>
      <c r="L298" s="641"/>
      <c r="M298" s="38"/>
    </row>
    <row r="299" spans="1:13" s="38" customFormat="1" x14ac:dyDescent="0.3">
      <c r="A299" s="49"/>
      <c r="B299" s="50"/>
      <c r="C299" s="51"/>
      <c r="D299" s="51"/>
      <c r="E299" s="51"/>
      <c r="F299" s="51"/>
      <c r="G299" s="51"/>
      <c r="H299" s="51"/>
      <c r="I299" s="51"/>
      <c r="J299" s="51"/>
      <c r="K299" s="51"/>
      <c r="L299" s="52"/>
    </row>
  </sheetData>
  <sheetProtection algorithmName="SHA-512" hashValue="LDIHN4Ulht4vzFMSxlthm36ovl8lKsVaqi73OO55fSv0UhcGF1ZHuh+z5252g6doOXIxE3lyTNN9taO142jl4w==" saltValue="3iiHJpIMhGPxvNeNNv3NVA==" spinCount="100000" sheet="1" objects="1" scenarios="1" selectLockedCells="1"/>
  <mergeCells count="244">
    <mergeCell ref="F262:H262"/>
    <mergeCell ref="F261:H261"/>
    <mergeCell ref="B85:C87"/>
    <mergeCell ref="D85:F85"/>
    <mergeCell ref="D86:F86"/>
    <mergeCell ref="D87:F87"/>
    <mergeCell ref="B75:C77"/>
    <mergeCell ref="D75:F75"/>
    <mergeCell ref="D76:F76"/>
    <mergeCell ref="D77:F77"/>
    <mergeCell ref="B78:K78"/>
    <mergeCell ref="B79:C81"/>
    <mergeCell ref="D79:F79"/>
    <mergeCell ref="D80:F80"/>
    <mergeCell ref="D81:F81"/>
    <mergeCell ref="B69:C71"/>
    <mergeCell ref="D69:F69"/>
    <mergeCell ref="D70:F70"/>
    <mergeCell ref="D71:F71"/>
    <mergeCell ref="B74:K74"/>
    <mergeCell ref="B82:C84"/>
    <mergeCell ref="D82:F82"/>
    <mergeCell ref="D83:F83"/>
    <mergeCell ref="D84:F84"/>
    <mergeCell ref="B280:L281"/>
    <mergeCell ref="D284:E284"/>
    <mergeCell ref="B127:F127"/>
    <mergeCell ref="B126:F126"/>
    <mergeCell ref="B125:F125"/>
    <mergeCell ref="B128:F128"/>
    <mergeCell ref="B129:F129"/>
    <mergeCell ref="B130:F130"/>
    <mergeCell ref="B131:F131"/>
    <mergeCell ref="B132:F132"/>
    <mergeCell ref="B185:F185"/>
    <mergeCell ref="B186:F186"/>
    <mergeCell ref="B187:F187"/>
    <mergeCell ref="B188:F188"/>
    <mergeCell ref="B189:F189"/>
    <mergeCell ref="B190:F190"/>
    <mergeCell ref="B191:F191"/>
    <mergeCell ref="B192:F192"/>
    <mergeCell ref="B246:F246"/>
    <mergeCell ref="B247:F247"/>
    <mergeCell ref="B248:F248"/>
    <mergeCell ref="B249:F249"/>
    <mergeCell ref="B250:F250"/>
    <mergeCell ref="B251:F251"/>
    <mergeCell ref="B214:D214"/>
    <mergeCell ref="B220:D220"/>
    <mergeCell ref="B262:B264"/>
    <mergeCell ref="B270:L270"/>
    <mergeCell ref="B256:L256"/>
    <mergeCell ref="B236:D236"/>
    <mergeCell ref="B229:D229"/>
    <mergeCell ref="B205:D205"/>
    <mergeCell ref="B273:C273"/>
    <mergeCell ref="C263:E263"/>
    <mergeCell ref="B241:D241"/>
    <mergeCell ref="C264:E264"/>
    <mergeCell ref="B267:L267"/>
    <mergeCell ref="B206:D206"/>
    <mergeCell ref="B211:D211"/>
    <mergeCell ref="B216:D216"/>
    <mergeCell ref="B221:D221"/>
    <mergeCell ref="B215:D215"/>
    <mergeCell ref="B219:D219"/>
    <mergeCell ref="B209:D209"/>
    <mergeCell ref="F264:H264"/>
    <mergeCell ref="F263:H263"/>
    <mergeCell ref="B286:L286"/>
    <mergeCell ref="B291:L298"/>
    <mergeCell ref="B201:D201"/>
    <mergeCell ref="B202:L203"/>
    <mergeCell ref="B207:L208"/>
    <mergeCell ref="B212:L213"/>
    <mergeCell ref="B217:L218"/>
    <mergeCell ref="B222:L223"/>
    <mergeCell ref="B227:L228"/>
    <mergeCell ref="B232:L233"/>
    <mergeCell ref="B237:L238"/>
    <mergeCell ref="C262:E262"/>
    <mergeCell ref="B259:L259"/>
    <mergeCell ref="B274:C274"/>
    <mergeCell ref="B243:L244"/>
    <mergeCell ref="B224:D224"/>
    <mergeCell ref="B225:D225"/>
    <mergeCell ref="B257:L257"/>
    <mergeCell ref="B234:D234"/>
    <mergeCell ref="B235:D235"/>
    <mergeCell ref="B268:L268"/>
    <mergeCell ref="B204:D204"/>
    <mergeCell ref="B25:F25"/>
    <mergeCell ref="B288:L289"/>
    <mergeCell ref="B96:D96"/>
    <mergeCell ref="B140:D140"/>
    <mergeCell ref="B141:L142"/>
    <mergeCell ref="B146:L147"/>
    <mergeCell ref="B151:L152"/>
    <mergeCell ref="B156:L157"/>
    <mergeCell ref="B135:L135"/>
    <mergeCell ref="B122:L123"/>
    <mergeCell ref="B114:D114"/>
    <mergeCell ref="B143:D143"/>
    <mergeCell ref="B115:D115"/>
    <mergeCell ref="B116:D116"/>
    <mergeCell ref="B97:L97"/>
    <mergeCell ref="B101:L101"/>
    <mergeCell ref="B105:L105"/>
    <mergeCell ref="B109:L109"/>
    <mergeCell ref="B113:L113"/>
    <mergeCell ref="B102:D102"/>
    <mergeCell ref="B103:D103"/>
    <mergeCell ref="B252:F252"/>
    <mergeCell ref="B253:F253"/>
    <mergeCell ref="B230:D230"/>
    <mergeCell ref="B94:L94"/>
    <mergeCell ref="B104:D104"/>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6:L16"/>
    <mergeCell ref="B17:L17"/>
    <mergeCell ref="B98:D98"/>
    <mergeCell ref="B99:D99"/>
    <mergeCell ref="B100:D100"/>
    <mergeCell ref="B108:D108"/>
    <mergeCell ref="B110:D110"/>
    <mergeCell ref="B111:D111"/>
    <mergeCell ref="B112:D112"/>
    <mergeCell ref="B145:D145"/>
    <mergeCell ref="B148:D148"/>
    <mergeCell ref="B136:L136"/>
    <mergeCell ref="B178:D178"/>
    <mergeCell ref="B179:D179"/>
    <mergeCell ref="B180:D180"/>
    <mergeCell ref="B198:L198"/>
    <mergeCell ref="B182:L183"/>
    <mergeCell ref="B199:L199"/>
    <mergeCell ref="B210:D210"/>
    <mergeCell ref="B106:D106"/>
    <mergeCell ref="B42:K42"/>
    <mergeCell ref="B43:C45"/>
    <mergeCell ref="D43:F43"/>
    <mergeCell ref="D44:F44"/>
    <mergeCell ref="D45:F45"/>
    <mergeCell ref="B46:K46"/>
    <mergeCell ref="B47:C49"/>
    <mergeCell ref="D47:F47"/>
    <mergeCell ref="D48:F48"/>
    <mergeCell ref="D49:F49"/>
    <mergeCell ref="B50:C52"/>
    <mergeCell ref="D50:F50"/>
    <mergeCell ref="D51:F51"/>
    <mergeCell ref="D52:F52"/>
    <mergeCell ref="B53:C55"/>
    <mergeCell ref="D53:F53"/>
    <mergeCell ref="D54:F54"/>
    <mergeCell ref="D55:F55"/>
    <mergeCell ref="B58:K58"/>
    <mergeCell ref="B59:C61"/>
    <mergeCell ref="B90:L90"/>
    <mergeCell ref="B91:L91"/>
    <mergeCell ref="B93:L93"/>
    <mergeCell ref="B37:C39"/>
    <mergeCell ref="D37:F37"/>
    <mergeCell ref="D39:F39"/>
    <mergeCell ref="B41:F41"/>
    <mergeCell ref="B57:F57"/>
    <mergeCell ref="D59:F59"/>
    <mergeCell ref="D60:F60"/>
    <mergeCell ref="D61:F61"/>
    <mergeCell ref="B62:K62"/>
    <mergeCell ref="B63:C65"/>
    <mergeCell ref="D63:F63"/>
    <mergeCell ref="D64:F64"/>
    <mergeCell ref="D65:F65"/>
    <mergeCell ref="B66:C68"/>
    <mergeCell ref="D66:F66"/>
    <mergeCell ref="D67:F67"/>
    <mergeCell ref="D68:F68"/>
    <mergeCell ref="B27:C29"/>
    <mergeCell ref="D33:F33"/>
    <mergeCell ref="D34:F34"/>
    <mergeCell ref="D35:F35"/>
    <mergeCell ref="B31:C33"/>
    <mergeCell ref="D31:F31"/>
    <mergeCell ref="D32:F32"/>
    <mergeCell ref="D38:F38"/>
    <mergeCell ref="D36:F36"/>
    <mergeCell ref="B34:C36"/>
    <mergeCell ref="B168:D168"/>
    <mergeCell ref="B169:D169"/>
    <mergeCell ref="B107:D107"/>
    <mergeCell ref="B170:D170"/>
    <mergeCell ref="B173:D173"/>
    <mergeCell ref="B174:D174"/>
    <mergeCell ref="B166:L167"/>
    <mergeCell ref="B171:L172"/>
    <mergeCell ref="B117:L117"/>
    <mergeCell ref="B118:D118"/>
    <mergeCell ref="B119:D119"/>
    <mergeCell ref="B120:D120"/>
    <mergeCell ref="B277:C277"/>
    <mergeCell ref="B278:C278"/>
    <mergeCell ref="B138:L138"/>
    <mergeCell ref="B144:D144"/>
    <mergeCell ref="B149:D149"/>
    <mergeCell ref="B150:D150"/>
    <mergeCell ref="B153:D153"/>
    <mergeCell ref="B154:D154"/>
    <mergeCell ref="B155:D155"/>
    <mergeCell ref="B239:D239"/>
    <mergeCell ref="B240:D240"/>
    <mergeCell ref="B226:D226"/>
    <mergeCell ref="B196:L196"/>
    <mergeCell ref="B231:D231"/>
    <mergeCell ref="B161:L162"/>
    <mergeCell ref="B176:L177"/>
    <mergeCell ref="B195:L195"/>
    <mergeCell ref="B158:D158"/>
    <mergeCell ref="B159:D159"/>
    <mergeCell ref="B160:D160"/>
    <mergeCell ref="B163:D163"/>
    <mergeCell ref="B175:D175"/>
    <mergeCell ref="B164:D164"/>
    <mergeCell ref="B165:D165"/>
  </mergeCells>
  <conditionalFormatting sqref="F284:G284">
    <cfRule type="cellIs" dxfId="9" priority="1" operator="equal">
      <formula>"Error"</formula>
    </cfRule>
  </conditionalFormatting>
  <conditionalFormatting sqref="G126:I128 G130:I132">
    <cfRule type="cellIs" dxfId="8" priority="5" operator="equal">
      <formula>"Error"</formula>
    </cfRule>
  </conditionalFormatting>
  <conditionalFormatting sqref="G186:I188 G190:I192">
    <cfRule type="cellIs" dxfId="7" priority="4" operator="equal">
      <formula>"Error"</formula>
    </cfRule>
  </conditionalFormatting>
  <conditionalFormatting sqref="G247:I249">
    <cfRule type="cellIs" dxfId="6" priority="2" operator="equal">
      <formula>"Error"</formula>
    </cfRule>
  </conditionalFormatting>
  <conditionalFormatting sqref="G251:I253">
    <cfRule type="cellIs" dxfId="5" priority="3"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91"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E226:L226 F264 E108:L108 F284:G284 E165:L165 G190:I192 G36:K39 E100:L100 G29:K29 E104:L104 E170:L170 E112:L112 E241:L241 E145:L145 E150:L150 E155:L155 E160:L160 E231:L231 E175:L175 E180:L180 E206:L206 E211:L211 E216:L216 E221:L221 E236:L236 G33:K33 G186:I188 G126:I128 G130:I132 G247:I249 G251:I253 G45:K45 G52:K55 G49:K49 G68:K71 G61:K61 G84:K87 G65:K65 G77:K77 G81:K81 E116:L116 E120:L120"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82:K83 I277:I278 E239:L240 E234:L235 E229:L230 E224:L225 E219:L220 E214:L215 E209:L210 E204:L205 E178:L179 E173:L174 E168:L169 E163:L164 E158:L159 E153:L154 E148:L149 E143:L144 E114:L115 E118:L119 E106:L107 E102:L103 E98:L99 G27:K28 G31:K32 G34:K35 G43:K44 G47:K48 G50:K51 G59:K60 G63:K64 G66:K67 G75:K76 G79:K80 E110:L111 E273:I274 E277:E278 G277:G278 F262:F263" xr:uid="{830880E6-0E00-4F53-93A3-FED4FC9F9070}">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298"/>
  <sheetViews>
    <sheetView showGridLines="0" zoomScaleNormal="100" workbookViewId="0"/>
  </sheetViews>
  <sheetFormatPr defaultColWidth="9.44140625" defaultRowHeight="14.4" x14ac:dyDescent="0.3"/>
  <cols>
    <col min="1" max="1" width="1.5546875" style="7"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8" width="9.44140625" style="10" customWidth="1"/>
    <col min="19" max="16384" width="9.44140625" style="10"/>
  </cols>
  <sheetData>
    <row r="1" spans="1:16" x14ac:dyDescent="0.3">
      <c r="O1" s="10" t="s">
        <v>481</v>
      </c>
      <c r="P1" s="10" t="s">
        <v>481</v>
      </c>
    </row>
    <row r="2" spans="1:16" x14ac:dyDescent="0.3">
      <c r="B2" s="12" t="str">
        <f>Pro!B2</f>
        <v>PROTECTED</v>
      </c>
      <c r="C2" s="12"/>
      <c r="D2" s="12"/>
      <c r="O2" s="197" t="s">
        <v>93</v>
      </c>
      <c r="P2" s="197" t="s">
        <v>109</v>
      </c>
    </row>
    <row r="3" spans="1:16" x14ac:dyDescent="0.3">
      <c r="B3" s="13"/>
      <c r="C3" s="13"/>
      <c r="D3" s="13"/>
      <c r="O3" s="2"/>
      <c r="P3" s="2"/>
    </row>
    <row r="4" spans="1:16" s="2" customFormat="1" x14ac:dyDescent="0.3">
      <c r="A4" s="33"/>
      <c r="B4" s="588" t="str">
        <f>Info!B4</f>
        <v>IMPORTERS' QUESTIONNAIRE</v>
      </c>
      <c r="C4" s="589"/>
      <c r="D4" s="589"/>
      <c r="E4" s="589"/>
      <c r="F4" s="589"/>
      <c r="G4" s="589"/>
      <c r="H4" s="589"/>
      <c r="I4" s="589"/>
      <c r="J4" s="589"/>
      <c r="K4" s="589"/>
      <c r="L4" s="590"/>
      <c r="M4" s="25"/>
      <c r="N4" s="25"/>
      <c r="O4" s="19"/>
      <c r="P4" s="19"/>
    </row>
    <row r="5" spans="1:16" s="2" customFormat="1" x14ac:dyDescent="0.3">
      <c r="A5" s="33"/>
      <c r="B5" s="630" t="str">
        <f>Info!B5</f>
        <v>NQ-2026-002</v>
      </c>
      <c r="C5" s="631"/>
      <c r="D5" s="631"/>
      <c r="E5" s="631"/>
      <c r="F5" s="631"/>
      <c r="G5" s="631"/>
      <c r="H5" s="631"/>
      <c r="I5" s="631"/>
      <c r="J5" s="631"/>
      <c r="K5" s="631"/>
      <c r="L5" s="632"/>
      <c r="M5" s="25"/>
      <c r="N5" s="25"/>
      <c r="O5" s="19"/>
      <c r="P5" s="19"/>
    </row>
    <row r="6" spans="1:16" s="6" customFormat="1" x14ac:dyDescent="0.3">
      <c r="A6" s="33"/>
      <c r="B6" s="630" t="str">
        <f>Info!B6</f>
        <v>FORGED GRINDING MEDIA</v>
      </c>
      <c r="C6" s="631"/>
      <c r="D6" s="631"/>
      <c r="E6" s="631"/>
      <c r="F6" s="631"/>
      <c r="G6" s="631"/>
      <c r="H6" s="631"/>
      <c r="I6" s="631"/>
      <c r="J6" s="631"/>
      <c r="K6" s="631"/>
      <c r="L6" s="632"/>
      <c r="M6" s="19"/>
      <c r="N6" s="19"/>
      <c r="O6" s="15"/>
      <c r="P6" s="15"/>
    </row>
    <row r="7" spans="1:16" s="6" customFormat="1" x14ac:dyDescent="0.3">
      <c r="A7" s="33"/>
      <c r="B7" s="161"/>
      <c r="C7" s="162"/>
      <c r="D7" s="162"/>
      <c r="E7" s="162"/>
      <c r="F7" s="162"/>
      <c r="G7" s="162"/>
      <c r="H7" s="162"/>
      <c r="I7" s="162"/>
      <c r="J7" s="162"/>
      <c r="K7" s="162"/>
      <c r="L7" s="163"/>
      <c r="M7" s="19"/>
      <c r="N7" s="19"/>
      <c r="O7" s="20"/>
    </row>
    <row r="8" spans="1:16" s="6" customFormat="1" x14ac:dyDescent="0.3">
      <c r="A8" s="33"/>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x14ac:dyDescent="0.3">
      <c r="A9" s="33"/>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x14ac:dyDescent="0.3">
      <c r="A10" s="33"/>
      <c r="B10" s="633" t="str">
        <f>Pro!B10</f>
        <v xml:space="preserve">Use the AddPro tab if more space is needed.
</v>
      </c>
      <c r="C10" s="634"/>
      <c r="D10" s="634"/>
      <c r="E10" s="634"/>
      <c r="F10" s="634"/>
      <c r="G10" s="634"/>
      <c r="H10" s="634"/>
      <c r="I10" s="634"/>
      <c r="J10" s="634"/>
      <c r="K10" s="634"/>
      <c r="L10" s="635"/>
      <c r="M10" s="19"/>
      <c r="N10" s="19"/>
      <c r="O10" s="15"/>
      <c r="P10" s="15"/>
    </row>
    <row r="11" spans="1:16" s="6" customFormat="1" x14ac:dyDescent="0.3">
      <c r="A11" s="33"/>
      <c r="B11" s="633"/>
      <c r="C11" s="634"/>
      <c r="D11" s="634"/>
      <c r="E11" s="634"/>
      <c r="F11" s="634"/>
      <c r="G11" s="634"/>
      <c r="H11" s="634"/>
      <c r="I11" s="634"/>
      <c r="J11" s="634"/>
      <c r="K11" s="634"/>
      <c r="L11" s="635"/>
      <c r="M11" s="19"/>
      <c r="N11" s="19"/>
      <c r="O11" s="15"/>
      <c r="P11" s="15"/>
    </row>
    <row r="12" spans="1:16" s="6" customFormat="1" x14ac:dyDescent="0.3">
      <c r="A12" s="33"/>
      <c r="B12" s="633" t="str">
        <f>Pro!B12</f>
        <v>For the questions in this tab, note the following:</v>
      </c>
      <c r="C12" s="634"/>
      <c r="D12" s="634"/>
      <c r="E12" s="634"/>
      <c r="F12" s="634"/>
      <c r="G12" s="634"/>
      <c r="H12" s="634"/>
      <c r="I12" s="634"/>
      <c r="J12" s="634"/>
      <c r="K12" s="634"/>
      <c r="L12" s="635"/>
      <c r="M12" s="19"/>
      <c r="N12" s="19"/>
      <c r="O12" s="15"/>
      <c r="P12" s="15"/>
    </row>
    <row r="13" spans="1:16" s="6" customFormat="1" x14ac:dyDescent="0.3">
      <c r="A13" s="33"/>
      <c r="B13" s="725" t="str">
        <f>Pro!B13</f>
        <v>• Report only sales from your firm’s imports. Sales of goods purchased from Canadian producers must be excluded.</v>
      </c>
      <c r="C13" s="726"/>
      <c r="D13" s="726"/>
      <c r="E13" s="726"/>
      <c r="F13" s="726"/>
      <c r="G13" s="726"/>
      <c r="H13" s="726"/>
      <c r="I13" s="726"/>
      <c r="J13" s="726"/>
      <c r="K13" s="726"/>
      <c r="L13" s="727"/>
      <c r="M13" s="19"/>
      <c r="N13" s="19"/>
      <c r="O13" s="15"/>
      <c r="P13" s="15"/>
    </row>
    <row r="14" spans="1:16" s="6" customFormat="1" x14ac:dyDescent="0.3">
      <c r="A14" s="33"/>
      <c r="B14" s="633" t="str">
        <f>Pro!B14</f>
        <v>• Report all sales to Canadian and foreign associated firms.</v>
      </c>
      <c r="C14" s="634"/>
      <c r="D14" s="634"/>
      <c r="E14" s="634"/>
      <c r="F14" s="634"/>
      <c r="G14" s="634"/>
      <c r="H14" s="634"/>
      <c r="I14" s="634"/>
      <c r="J14" s="634"/>
      <c r="K14" s="634"/>
      <c r="L14" s="635"/>
      <c r="M14" s="19"/>
      <c r="N14" s="19"/>
      <c r="O14" s="15"/>
      <c r="P14" s="15"/>
    </row>
    <row r="15" spans="1:16" s="6" customFormat="1" x14ac:dyDescent="0.3">
      <c r="A15" s="33"/>
      <c r="B15" s="633" t="str">
        <f>Pro!B15</f>
        <v>• Report all sales as of the date of shipment to the customer or the customer’s warehouse.</v>
      </c>
      <c r="C15" s="634"/>
      <c r="D15" s="634"/>
      <c r="E15" s="634"/>
      <c r="F15" s="634"/>
      <c r="G15" s="634"/>
      <c r="H15" s="634"/>
      <c r="I15" s="634"/>
      <c r="J15" s="634"/>
      <c r="K15" s="634"/>
      <c r="L15" s="635"/>
      <c r="M15" s="19"/>
      <c r="N15" s="19"/>
      <c r="O15" s="15"/>
      <c r="P15" s="15"/>
    </row>
    <row r="16" spans="1:16" s="6" customFormat="1" x14ac:dyDescent="0.3">
      <c r="A16" s="33"/>
      <c r="B16" s="633" t="str">
        <f>Pro!B16</f>
        <v>• Report all values in Canadian dollars.</v>
      </c>
      <c r="C16" s="634"/>
      <c r="D16" s="634"/>
      <c r="E16" s="634"/>
      <c r="F16" s="634"/>
      <c r="G16" s="634"/>
      <c r="H16" s="634"/>
      <c r="I16" s="634"/>
      <c r="J16" s="634"/>
      <c r="K16" s="634"/>
      <c r="L16" s="635"/>
      <c r="M16" s="19"/>
      <c r="N16" s="19"/>
      <c r="O16" s="15"/>
      <c r="P16" s="15"/>
    </row>
    <row r="17" spans="1:16" s="6" customFormat="1" x14ac:dyDescent="0.3">
      <c r="A17" s="33"/>
      <c r="B17" s="636" t="str">
        <f>'Imp-Exp1'!B17</f>
        <v>• If your firm is an end user or a retailer, your firm does not need to report sales of imports or inventories of imports.</v>
      </c>
      <c r="C17" s="637"/>
      <c r="D17" s="637"/>
      <c r="E17" s="637"/>
      <c r="F17" s="637"/>
      <c r="G17" s="637"/>
      <c r="H17" s="637"/>
      <c r="I17" s="637"/>
      <c r="J17" s="637"/>
      <c r="K17" s="637"/>
      <c r="L17" s="638"/>
      <c r="M17" s="19"/>
      <c r="N17" s="19"/>
      <c r="O17" s="15"/>
      <c r="P17" s="15"/>
    </row>
    <row r="18" spans="1:16" s="6" customFormat="1" x14ac:dyDescent="0.3">
      <c r="A18" s="33"/>
      <c r="B18" s="14"/>
      <c r="C18" s="14"/>
      <c r="D18" s="14"/>
      <c r="E18" s="3"/>
      <c r="F18" s="3"/>
      <c r="G18" s="3"/>
      <c r="H18" s="3"/>
      <c r="I18" s="3"/>
      <c r="J18" s="3"/>
      <c r="K18" s="3"/>
      <c r="L18" s="3"/>
      <c r="O18" s="15"/>
      <c r="P18" s="15"/>
    </row>
    <row r="19" spans="1:16" x14ac:dyDescent="0.3">
      <c r="B19" s="506" t="str">
        <f>IF(Intro!$G$20="English",O19,P19)</f>
        <v>IMPORTS AND SALES</v>
      </c>
      <c r="C19" s="507"/>
      <c r="D19" s="507"/>
      <c r="E19" s="507"/>
      <c r="F19" s="507"/>
      <c r="G19" s="507"/>
      <c r="H19" s="507"/>
      <c r="I19" s="507"/>
      <c r="J19" s="507"/>
      <c r="K19" s="507"/>
      <c r="L19" s="508"/>
      <c r="M19" s="10"/>
      <c r="O19" s="107" t="s">
        <v>332</v>
      </c>
      <c r="P19" s="107" t="s">
        <v>333</v>
      </c>
    </row>
    <row r="20" spans="1:16" x14ac:dyDescent="0.3">
      <c r="B20" s="647" t="s">
        <v>12</v>
      </c>
      <c r="C20" s="648"/>
      <c r="D20" s="648"/>
      <c r="E20" s="648"/>
      <c r="F20" s="648"/>
      <c r="G20" s="648"/>
      <c r="H20" s="648"/>
      <c r="I20" s="648"/>
      <c r="J20" s="648"/>
      <c r="K20" s="648"/>
      <c r="L20" s="649"/>
      <c r="M20" s="10"/>
    </row>
    <row r="21" spans="1:16" x14ac:dyDescent="0.3">
      <c r="B21" s="16"/>
      <c r="C21" s="35"/>
      <c r="D21" s="35"/>
      <c r="E21" s="36"/>
      <c r="F21" s="36"/>
      <c r="G21" s="36"/>
      <c r="H21" s="36"/>
      <c r="I21" s="36"/>
      <c r="J21" s="36"/>
      <c r="K21" s="36"/>
      <c r="L21" s="17"/>
      <c r="M21" s="10"/>
    </row>
    <row r="22" spans="1:16" ht="15.6" x14ac:dyDescent="0.3">
      <c r="B22" s="578" t="str">
        <f>IF(Intro!$G$20="English",O22,P22)</f>
        <v xml:space="preserve">Provide your firm's imports and sales of imports of the goods from: </v>
      </c>
      <c r="C22" s="579"/>
      <c r="D22" s="579"/>
      <c r="E22" s="579"/>
      <c r="F22" s="579"/>
      <c r="G22" s="807" t="str">
        <f>IF(Intro!$G$20="English",Variables!B49,Variables!C49)</f>
        <v>Other Countries</v>
      </c>
      <c r="H22" s="808"/>
      <c r="I22" s="808"/>
      <c r="J22" s="808"/>
      <c r="K22" s="809"/>
      <c r="L22" s="83"/>
      <c r="M22" s="10"/>
      <c r="O22" s="10" t="s">
        <v>284</v>
      </c>
      <c r="P22" s="10" t="s">
        <v>285</v>
      </c>
    </row>
    <row r="23" spans="1:16" x14ac:dyDescent="0.3">
      <c r="B23" s="247" t="str">
        <f>IF(Intro!$G$20="English",O23,P23)</f>
        <v xml:space="preserve">Other countries include: </v>
      </c>
      <c r="C23" s="97"/>
      <c r="D23" s="810"/>
      <c r="E23" s="811"/>
      <c r="F23" s="811"/>
      <c r="G23" s="811"/>
      <c r="H23" s="811"/>
      <c r="I23" s="811"/>
      <c r="J23" s="811"/>
      <c r="K23" s="812"/>
      <c r="L23" s="71"/>
      <c r="M23" s="10"/>
      <c r="O23" s="10" t="s">
        <v>286</v>
      </c>
      <c r="P23" s="10" t="s">
        <v>287</v>
      </c>
    </row>
    <row r="24" spans="1:16" x14ac:dyDescent="0.3">
      <c r="B24" s="79"/>
      <c r="C24" s="35"/>
      <c r="D24" s="35"/>
      <c r="E24" s="36"/>
      <c r="F24" s="36"/>
      <c r="G24" s="36"/>
      <c r="H24" s="36"/>
      <c r="I24" s="36"/>
      <c r="J24" s="36"/>
      <c r="K24" s="36"/>
      <c r="L24" s="17"/>
      <c r="M24" s="10"/>
      <c r="O24" s="18"/>
    </row>
    <row r="25" spans="1:16" x14ac:dyDescent="0.3">
      <c r="B25" s="800" t="str">
        <f>IF(Intro!G$20="English",O25,P25)</f>
        <v>Forged</v>
      </c>
      <c r="C25" s="801"/>
      <c r="D25" s="801"/>
      <c r="E25" s="801"/>
      <c r="F25" s="802"/>
      <c r="G25" s="222">
        <f>Variables!$B$6</f>
        <v>2023</v>
      </c>
      <c r="H25" s="222">
        <f>G25+1</f>
        <v>2024</v>
      </c>
      <c r="I25" s="222">
        <f>H25+1</f>
        <v>2025</v>
      </c>
      <c r="J25" s="222" t="str">
        <f>IF(Intro!$G$20="English",Variables!B9,Variables!C9)</f>
        <v>Jan-Mar 2025</v>
      </c>
      <c r="K25" s="222" t="str">
        <f>IF(Intro!$G$20="English",Variables!B10,Variables!C10)</f>
        <v>Jan-Mar 2026</v>
      </c>
      <c r="L25" s="71"/>
      <c r="M25" s="10"/>
      <c r="O25" s="18" t="str">
        <f>Variables!B70</f>
        <v>Forged</v>
      </c>
      <c r="P25" s="18" t="str">
        <f>Variables!C70</f>
        <v>Forgeage</v>
      </c>
    </row>
    <row r="26" spans="1:16" s="11" customFormat="1" x14ac:dyDescent="0.3">
      <c r="A26" s="32"/>
      <c r="B26" s="740" t="str">
        <f>IF(Intro!$G$20="English",O26,P26)</f>
        <v>Imports in Canada</v>
      </c>
      <c r="C26" s="741"/>
      <c r="D26" s="741"/>
      <c r="E26" s="741"/>
      <c r="F26" s="741"/>
      <c r="G26" s="741"/>
      <c r="H26" s="741"/>
      <c r="I26" s="741"/>
      <c r="J26" s="741"/>
      <c r="K26" s="741"/>
      <c r="L26" s="71"/>
      <c r="O26" s="26" t="s">
        <v>233</v>
      </c>
      <c r="P26" s="11" t="s">
        <v>234</v>
      </c>
    </row>
    <row r="27" spans="1:16" x14ac:dyDescent="0.3">
      <c r="B27" s="540" t="str">
        <f>IF(Intro!$G$20="English",O27,P27)</f>
        <v>Imports</v>
      </c>
      <c r="C27" s="541"/>
      <c r="D27" s="799" t="str">
        <f>IF(Intro!$G$20="English",Variables!$B$23,Variables!$C$23)</f>
        <v>tonnes</v>
      </c>
      <c r="E27" s="799"/>
      <c r="F27" s="799"/>
      <c r="G27" s="137"/>
      <c r="H27" s="137"/>
      <c r="I27" s="137"/>
      <c r="J27" s="137"/>
      <c r="K27" s="131"/>
      <c r="L27" s="71"/>
      <c r="M27" s="10"/>
      <c r="O27" s="10" t="s">
        <v>91</v>
      </c>
      <c r="P27" s="10" t="s">
        <v>169</v>
      </c>
    </row>
    <row r="28" spans="1:16" x14ac:dyDescent="0.3">
      <c r="B28" s="540"/>
      <c r="C28" s="541"/>
      <c r="D28" s="799" t="str">
        <f>IF(Intro!G$20="English",O28,P28)</f>
        <v>net delivered purchase value (CAD)</v>
      </c>
      <c r="E28" s="799"/>
      <c r="F28" s="799"/>
      <c r="G28" s="137"/>
      <c r="H28" s="137"/>
      <c r="I28" s="137"/>
      <c r="J28" s="137"/>
      <c r="K28" s="131"/>
      <c r="L28" s="71"/>
      <c r="M28" s="10"/>
      <c r="O28" s="10" t="s">
        <v>342</v>
      </c>
      <c r="P28" s="10" t="s">
        <v>341</v>
      </c>
    </row>
    <row r="29" spans="1:16" x14ac:dyDescent="0.3">
      <c r="B29" s="540"/>
      <c r="C29" s="541"/>
      <c r="D29" s="799" t="str">
        <f>"$ / "&amp;IF(Intro!$G$20="English",Variables!$B$24,Variables!$C$24)</f>
        <v>$ / tonne</v>
      </c>
      <c r="E29" s="799"/>
      <c r="F29" s="799"/>
      <c r="G29" s="289" t="str">
        <f>IF(G27=0,"-",G28/G27)</f>
        <v>-</v>
      </c>
      <c r="H29" s="289" t="str">
        <f>IF(H27=0,"-",H28/H27)</f>
        <v>-</v>
      </c>
      <c r="I29" s="289" t="str">
        <f>IF(I27=0,"-",I28/I27)</f>
        <v>-</v>
      </c>
      <c r="J29" s="289" t="str">
        <f>IF(J27=0,"-",J28/J27)</f>
        <v>-</v>
      </c>
      <c r="K29" s="289" t="str">
        <f>IF(K27=0,"-",K28/K27)</f>
        <v>-</v>
      </c>
      <c r="L29" s="71"/>
      <c r="M29" s="10"/>
    </row>
    <row r="30" spans="1:16" s="11" customFormat="1" x14ac:dyDescent="0.3">
      <c r="A30" s="32"/>
      <c r="B30" s="803" t="str">
        <f>IF(Intro!$G$20="English",O30,P30)</f>
        <v>Sales in Canada</v>
      </c>
      <c r="C30" s="662"/>
      <c r="D30" s="662"/>
      <c r="E30" s="662"/>
      <c r="F30" s="662"/>
      <c r="G30" s="662"/>
      <c r="H30" s="662"/>
      <c r="I30" s="662"/>
      <c r="J30" s="662"/>
      <c r="K30" s="662"/>
      <c r="L30" s="71"/>
      <c r="O30" s="26" t="s">
        <v>235</v>
      </c>
      <c r="P30" s="11" t="s">
        <v>236</v>
      </c>
    </row>
    <row r="31" spans="1:16" x14ac:dyDescent="0.3">
      <c r="B31" s="540" t="str">
        <f>IF(Intro!$G$20="English",O31,P31)</f>
        <v>Sales to end users in Canada</v>
      </c>
      <c r="C31" s="541"/>
      <c r="D31" s="799" t="str">
        <f>D27</f>
        <v>tonnes</v>
      </c>
      <c r="E31" s="799"/>
      <c r="F31" s="799"/>
      <c r="G31" s="137"/>
      <c r="H31" s="137"/>
      <c r="I31" s="137"/>
      <c r="J31" s="137"/>
      <c r="K31" s="131"/>
      <c r="L31" s="71"/>
      <c r="M31" s="10"/>
      <c r="O31" s="10" t="str">
        <f>"Sales to "&amp;Variables!$B$26&amp;" in Canada"</f>
        <v>Sales to end users in Canada</v>
      </c>
      <c r="P31" s="10" t="str">
        <f>"Ventes aux "&amp;Variables!$C$26&amp;" au Canada"</f>
        <v>Ventes aux utilisateurs finals au Canada</v>
      </c>
    </row>
    <row r="32" spans="1:16" x14ac:dyDescent="0.3">
      <c r="B32" s="540"/>
      <c r="C32" s="541"/>
      <c r="D32" s="799" t="str">
        <f>IF(Intro!G$20="English",O32,P32)</f>
        <v>net delivered selling value (CAD)</v>
      </c>
      <c r="E32" s="799"/>
      <c r="F32" s="799"/>
      <c r="G32" s="137"/>
      <c r="H32" s="137"/>
      <c r="I32" s="137"/>
      <c r="J32" s="137"/>
      <c r="K32" s="131"/>
      <c r="L32" s="71"/>
      <c r="M32" s="10"/>
      <c r="O32" s="10" t="s">
        <v>344</v>
      </c>
      <c r="P32" s="10" t="s">
        <v>343</v>
      </c>
    </row>
    <row r="33" spans="1:16" ht="15" thickBot="1" x14ac:dyDescent="0.35">
      <c r="B33" s="752"/>
      <c r="C33" s="753"/>
      <c r="D33" s="797" t="str">
        <f>D29</f>
        <v>$ / tonne</v>
      </c>
      <c r="E33" s="797"/>
      <c r="F33" s="797"/>
      <c r="G33" s="157" t="str">
        <f>IF(G31=0,"-",G32/G31)</f>
        <v>-</v>
      </c>
      <c r="H33" s="157" t="str">
        <f>IF(H31=0,"-",H32/H31)</f>
        <v>-</v>
      </c>
      <c r="I33" s="157" t="str">
        <f>IF(I31=0,"-",I32/I31)</f>
        <v>-</v>
      </c>
      <c r="J33" s="157" t="str">
        <f t="shared" ref="J33:K33" si="0">IF(J31=0,"-",J32/J31)</f>
        <v>-</v>
      </c>
      <c r="K33" s="157" t="str">
        <f t="shared" si="0"/>
        <v>-</v>
      </c>
      <c r="L33" s="71"/>
      <c r="M33" s="10"/>
    </row>
    <row r="34" spans="1:16" x14ac:dyDescent="0.3">
      <c r="B34" s="754" t="str">
        <f>IF(Intro!$G$20="English",O34,P34)</f>
        <v>Sales to other in Canada</v>
      </c>
      <c r="C34" s="755"/>
      <c r="D34" s="798" t="str">
        <f t="shared" ref="D34:D36" si="1">D31</f>
        <v>tonnes</v>
      </c>
      <c r="E34" s="798"/>
      <c r="F34" s="798"/>
      <c r="G34" s="137"/>
      <c r="H34" s="137"/>
      <c r="I34" s="137"/>
      <c r="J34" s="137"/>
      <c r="K34" s="131"/>
      <c r="L34" s="71"/>
      <c r="M34" s="10"/>
      <c r="O34" s="10" t="str">
        <f>"Sales to "&amp;Variables!$B$27&amp;" in Canada"</f>
        <v>Sales to other in Canada</v>
      </c>
      <c r="P34" s="10" t="str">
        <f>"Ventes aux "&amp;Variables!$C$27&amp;" au Canada"</f>
        <v>Ventes aux autre au Canada</v>
      </c>
    </row>
    <row r="35" spans="1:16" x14ac:dyDescent="0.3">
      <c r="B35" s="540"/>
      <c r="C35" s="541"/>
      <c r="D35" s="799" t="str">
        <f t="shared" si="1"/>
        <v>net delivered selling value (CAD)</v>
      </c>
      <c r="E35" s="799"/>
      <c r="F35" s="799"/>
      <c r="G35" s="137"/>
      <c r="H35" s="137"/>
      <c r="I35" s="137"/>
      <c r="J35" s="137"/>
      <c r="K35" s="131"/>
      <c r="L35" s="71"/>
      <c r="M35" s="10"/>
    </row>
    <row r="36" spans="1:16" ht="15" thickBot="1" x14ac:dyDescent="0.35">
      <c r="B36" s="752"/>
      <c r="C36" s="753"/>
      <c r="D36" s="797" t="str">
        <f t="shared" si="1"/>
        <v>$ / tonne</v>
      </c>
      <c r="E36" s="797"/>
      <c r="F36" s="797"/>
      <c r="G36" s="289" t="str">
        <f>IF(G34=0,"-",G35/G34)</f>
        <v>-</v>
      </c>
      <c r="H36" s="289" t="str">
        <f>IF(H34=0,"-",H35/H34)</f>
        <v>-</v>
      </c>
      <c r="I36" s="289" t="str">
        <f>IF(I34=0,"-",I35/I34)</f>
        <v>-</v>
      </c>
      <c r="J36" s="289" t="str">
        <f>IF(J34=0,"-",J35/J34)</f>
        <v>-</v>
      </c>
      <c r="K36" s="289" t="str">
        <f>IF(K34=0,"-",K35/K34)</f>
        <v>-</v>
      </c>
      <c r="L36" s="71"/>
      <c r="M36" s="10"/>
    </row>
    <row r="37" spans="1:16" x14ac:dyDescent="0.3">
      <c r="B37" s="607" t="str">
        <f>IF(Intro!$G$20="English",O37,P37)</f>
        <v>Total sales in Canada</v>
      </c>
      <c r="C37" s="608"/>
      <c r="D37" s="749" t="str">
        <f>D34</f>
        <v>tonnes</v>
      </c>
      <c r="E37" s="749"/>
      <c r="F37" s="749"/>
      <c r="G37" s="139">
        <f t="shared" ref="G37:K38" si="2">G31+G34</f>
        <v>0</v>
      </c>
      <c r="H37" s="139">
        <f t="shared" si="2"/>
        <v>0</v>
      </c>
      <c r="I37" s="139">
        <f t="shared" si="2"/>
        <v>0</v>
      </c>
      <c r="J37" s="139">
        <f t="shared" si="2"/>
        <v>0</v>
      </c>
      <c r="K37" s="139">
        <f t="shared" si="2"/>
        <v>0</v>
      </c>
      <c r="L37" s="71"/>
      <c r="M37" s="10"/>
      <c r="O37" s="10" t="s">
        <v>345</v>
      </c>
      <c r="P37" s="10" t="s">
        <v>346</v>
      </c>
    </row>
    <row r="38" spans="1:16" x14ac:dyDescent="0.3">
      <c r="B38" s="596"/>
      <c r="C38" s="597"/>
      <c r="D38" s="771" t="str">
        <f>D35</f>
        <v>net delivered selling value (CAD)</v>
      </c>
      <c r="E38" s="771"/>
      <c r="F38" s="771"/>
      <c r="G38" s="138">
        <f t="shared" si="2"/>
        <v>0</v>
      </c>
      <c r="H38" s="138">
        <f t="shared" si="2"/>
        <v>0</v>
      </c>
      <c r="I38" s="138">
        <f t="shared" si="2"/>
        <v>0</v>
      </c>
      <c r="J38" s="138">
        <f t="shared" si="2"/>
        <v>0</v>
      </c>
      <c r="K38" s="138">
        <f t="shared" si="2"/>
        <v>0</v>
      </c>
      <c r="L38" s="71"/>
      <c r="M38" s="10"/>
    </row>
    <row r="39" spans="1:16" x14ac:dyDescent="0.3">
      <c r="B39" s="596"/>
      <c r="C39" s="597"/>
      <c r="D39" s="771" t="str">
        <f>D36</f>
        <v>$ / tonne</v>
      </c>
      <c r="E39" s="771"/>
      <c r="F39" s="771"/>
      <c r="G39" s="289" t="str">
        <f>IF(G37=0,"-",G38/G37)</f>
        <v>-</v>
      </c>
      <c r="H39" s="289" t="str">
        <f>IF(H37=0,"-",H38/H37)</f>
        <v>-</v>
      </c>
      <c r="I39" s="289" t="str">
        <f>IF(I37=0,"-",I38/I37)</f>
        <v>-</v>
      </c>
      <c r="J39" s="289" t="str">
        <f>IF(J37=0,"-",J38/J37)</f>
        <v>-</v>
      </c>
      <c r="K39" s="289" t="str">
        <f>IF(K37=0,"-",K38/K37)</f>
        <v>-</v>
      </c>
      <c r="L39" s="71"/>
      <c r="M39" s="10"/>
    </row>
    <row r="40" spans="1:16" x14ac:dyDescent="0.3">
      <c r="B40" s="258"/>
      <c r="C40" s="35"/>
      <c r="D40" s="35"/>
      <c r="E40" s="36"/>
      <c r="F40" s="36"/>
      <c r="G40" s="36"/>
      <c r="H40" s="36"/>
      <c r="I40" s="36"/>
      <c r="J40" s="36"/>
      <c r="K40" s="36"/>
      <c r="L40" s="17"/>
      <c r="M40" s="10"/>
      <c r="O40" s="18"/>
    </row>
    <row r="41" spans="1:16" x14ac:dyDescent="0.3">
      <c r="B41" s="800" t="str">
        <f>IF(Intro!G$20="English",O41,P41)</f>
        <v>Stamped</v>
      </c>
      <c r="C41" s="801"/>
      <c r="D41" s="801"/>
      <c r="E41" s="801"/>
      <c r="F41" s="802"/>
      <c r="G41" s="266">
        <f>G25</f>
        <v>2023</v>
      </c>
      <c r="H41" s="266">
        <f>H25</f>
        <v>2024</v>
      </c>
      <c r="I41" s="266">
        <f t="shared" ref="I41:K41" si="3">I25</f>
        <v>2025</v>
      </c>
      <c r="J41" s="266" t="str">
        <f t="shared" si="3"/>
        <v>Jan-Mar 2025</v>
      </c>
      <c r="K41" s="266" t="str">
        <f t="shared" si="3"/>
        <v>Jan-Mar 2026</v>
      </c>
      <c r="L41" s="71"/>
      <c r="M41" s="10"/>
      <c r="O41" s="18" t="str">
        <f>Variables!B71</f>
        <v>Stamped</v>
      </c>
      <c r="P41" s="18" t="str">
        <f>Variables!C71</f>
        <v>Estampage</v>
      </c>
    </row>
    <row r="42" spans="1:16" s="262" customFormat="1" x14ac:dyDescent="0.3">
      <c r="A42" s="32"/>
      <c r="B42" s="740" t="str">
        <f>IF(Intro!$G$20="English",O42,P42)</f>
        <v>Imports in Canada</v>
      </c>
      <c r="C42" s="741"/>
      <c r="D42" s="741"/>
      <c r="E42" s="741"/>
      <c r="F42" s="741"/>
      <c r="G42" s="741"/>
      <c r="H42" s="741"/>
      <c r="I42" s="741"/>
      <c r="J42" s="741"/>
      <c r="K42" s="741"/>
      <c r="L42" s="71"/>
      <c r="O42" s="26" t="s">
        <v>233</v>
      </c>
      <c r="P42" s="262" t="s">
        <v>234</v>
      </c>
    </row>
    <row r="43" spans="1:16" x14ac:dyDescent="0.3">
      <c r="B43" s="540" t="str">
        <f>IF(Intro!$G$20="English",O43,P43)</f>
        <v>Imports</v>
      </c>
      <c r="C43" s="541"/>
      <c r="D43" s="799" t="str">
        <f>IF(Intro!$G$20="English",Variables!$B$23,Variables!$C$23)</f>
        <v>tonnes</v>
      </c>
      <c r="E43" s="799"/>
      <c r="F43" s="799"/>
      <c r="G43" s="137"/>
      <c r="H43" s="137"/>
      <c r="I43" s="137"/>
      <c r="J43" s="137"/>
      <c r="K43" s="131"/>
      <c r="L43" s="71"/>
      <c r="M43" s="10"/>
      <c r="O43" s="10" t="s">
        <v>91</v>
      </c>
      <c r="P43" s="10" t="s">
        <v>169</v>
      </c>
    </row>
    <row r="44" spans="1:16" x14ac:dyDescent="0.3">
      <c r="B44" s="540"/>
      <c r="C44" s="541"/>
      <c r="D44" s="799" t="str">
        <f>IF(Intro!G$20="English",O44,P44)</f>
        <v>net delivered purchase value (CAD)</v>
      </c>
      <c r="E44" s="799"/>
      <c r="F44" s="799"/>
      <c r="G44" s="137"/>
      <c r="H44" s="137"/>
      <c r="I44" s="137"/>
      <c r="J44" s="137"/>
      <c r="K44" s="131"/>
      <c r="L44" s="71"/>
      <c r="M44" s="10"/>
      <c r="O44" s="10" t="s">
        <v>342</v>
      </c>
      <c r="P44" s="10" t="s">
        <v>341</v>
      </c>
    </row>
    <row r="45" spans="1:16" x14ac:dyDescent="0.3">
      <c r="B45" s="540"/>
      <c r="C45" s="541"/>
      <c r="D45" s="799" t="str">
        <f>"$ / "&amp;IF(Intro!$G$20="English",Variables!$B$24,Variables!$C$24)</f>
        <v>$ / tonne</v>
      </c>
      <c r="E45" s="799"/>
      <c r="F45" s="799"/>
      <c r="G45" s="289" t="str">
        <f>IF(G43=0,"-",G44/G43)</f>
        <v>-</v>
      </c>
      <c r="H45" s="289" t="str">
        <f>IF(H43=0,"-",H44/H43)</f>
        <v>-</v>
      </c>
      <c r="I45" s="289" t="str">
        <f>IF(I43=0,"-",I44/I43)</f>
        <v>-</v>
      </c>
      <c r="J45" s="289" t="str">
        <f>IF(J43=0,"-",J44/J43)</f>
        <v>-</v>
      </c>
      <c r="K45" s="289" t="str">
        <f>IF(K43=0,"-",K44/K43)</f>
        <v>-</v>
      </c>
      <c r="L45" s="71"/>
      <c r="M45" s="10"/>
    </row>
    <row r="46" spans="1:16" s="262" customFormat="1" x14ac:dyDescent="0.3">
      <c r="A46" s="32"/>
      <c r="B46" s="803" t="str">
        <f>IF(Intro!$G$20="English",O46,P46)</f>
        <v>Sales in Canada</v>
      </c>
      <c r="C46" s="662"/>
      <c r="D46" s="662"/>
      <c r="E46" s="662"/>
      <c r="F46" s="662"/>
      <c r="G46" s="662"/>
      <c r="H46" s="662"/>
      <c r="I46" s="662"/>
      <c r="J46" s="662"/>
      <c r="K46" s="662"/>
      <c r="L46" s="71"/>
      <c r="O46" s="26" t="s">
        <v>235</v>
      </c>
      <c r="P46" s="262" t="s">
        <v>236</v>
      </c>
    </row>
    <row r="47" spans="1:16" x14ac:dyDescent="0.3">
      <c r="B47" s="540" t="str">
        <f>IF(Intro!$G$20="English",O47,P47)</f>
        <v>Sales to end users in Canada</v>
      </c>
      <c r="C47" s="541"/>
      <c r="D47" s="799" t="str">
        <f>D43</f>
        <v>tonnes</v>
      </c>
      <c r="E47" s="799"/>
      <c r="F47" s="799"/>
      <c r="G47" s="137"/>
      <c r="H47" s="137"/>
      <c r="I47" s="137"/>
      <c r="J47" s="137"/>
      <c r="K47" s="131"/>
      <c r="L47" s="71"/>
      <c r="M47" s="10"/>
      <c r="O47" s="10" t="str">
        <f>"Sales to "&amp;Variables!$B$26&amp;" in Canada"</f>
        <v>Sales to end users in Canada</v>
      </c>
      <c r="P47" s="10" t="str">
        <f>"Ventes aux "&amp;Variables!$C$26&amp;" au Canada"</f>
        <v>Ventes aux utilisateurs finals au Canada</v>
      </c>
    </row>
    <row r="48" spans="1:16" x14ac:dyDescent="0.3">
      <c r="B48" s="540"/>
      <c r="C48" s="541"/>
      <c r="D48" s="799" t="str">
        <f>IF(Intro!G$20="English",O48,P48)</f>
        <v>net delivered selling value (CAD)</v>
      </c>
      <c r="E48" s="799"/>
      <c r="F48" s="799"/>
      <c r="G48" s="137"/>
      <c r="H48" s="137"/>
      <c r="I48" s="137"/>
      <c r="J48" s="137"/>
      <c r="K48" s="131"/>
      <c r="L48" s="71"/>
      <c r="M48" s="10"/>
      <c r="O48" s="10" t="s">
        <v>344</v>
      </c>
      <c r="P48" s="10" t="s">
        <v>343</v>
      </c>
    </row>
    <row r="49" spans="1:16" ht="15" thickBot="1" x14ac:dyDescent="0.35">
      <c r="B49" s="752"/>
      <c r="C49" s="753"/>
      <c r="D49" s="797" t="str">
        <f>D45</f>
        <v>$ / tonne</v>
      </c>
      <c r="E49" s="797"/>
      <c r="F49" s="797"/>
      <c r="G49" s="157" t="str">
        <f>IF(G47=0,"-",G48/G47)</f>
        <v>-</v>
      </c>
      <c r="H49" s="157" t="str">
        <f>IF(H47=0,"-",H48/H47)</f>
        <v>-</v>
      </c>
      <c r="I49" s="157" t="str">
        <f>IF(I47=0,"-",I48/I47)</f>
        <v>-</v>
      </c>
      <c r="J49" s="157" t="str">
        <f t="shared" ref="J49:K49" si="4">IF(J47=0,"-",J48/J47)</f>
        <v>-</v>
      </c>
      <c r="K49" s="157" t="str">
        <f t="shared" si="4"/>
        <v>-</v>
      </c>
      <c r="L49" s="71"/>
      <c r="M49" s="10"/>
    </row>
    <row r="50" spans="1:16" x14ac:dyDescent="0.3">
      <c r="B50" s="754" t="str">
        <f>IF(Intro!$G$20="English",O50,P50)</f>
        <v>Sales to other in Canada</v>
      </c>
      <c r="C50" s="755"/>
      <c r="D50" s="798" t="str">
        <f t="shared" ref="D50:D52" si="5">D47</f>
        <v>tonnes</v>
      </c>
      <c r="E50" s="798"/>
      <c r="F50" s="798"/>
      <c r="G50" s="137"/>
      <c r="H50" s="137"/>
      <c r="I50" s="137"/>
      <c r="J50" s="137"/>
      <c r="K50" s="131"/>
      <c r="L50" s="71"/>
      <c r="M50" s="10"/>
      <c r="O50" s="10" t="str">
        <f>"Sales to "&amp;Variables!$B$27&amp;" in Canada"</f>
        <v>Sales to other in Canada</v>
      </c>
      <c r="P50" s="10" t="str">
        <f>"Ventes aux "&amp;Variables!$C$27&amp;" au Canada"</f>
        <v>Ventes aux autre au Canada</v>
      </c>
    </row>
    <row r="51" spans="1:16" x14ac:dyDescent="0.3">
      <c r="B51" s="540"/>
      <c r="C51" s="541"/>
      <c r="D51" s="799" t="str">
        <f t="shared" si="5"/>
        <v>net delivered selling value (CAD)</v>
      </c>
      <c r="E51" s="799"/>
      <c r="F51" s="799"/>
      <c r="G51" s="137"/>
      <c r="H51" s="137"/>
      <c r="I51" s="137"/>
      <c r="J51" s="137"/>
      <c r="K51" s="131"/>
      <c r="L51" s="71"/>
      <c r="M51" s="10"/>
    </row>
    <row r="52" spans="1:16" ht="15" thickBot="1" x14ac:dyDescent="0.35">
      <c r="B52" s="752"/>
      <c r="C52" s="753"/>
      <c r="D52" s="797" t="str">
        <f t="shared" si="5"/>
        <v>$ / tonne</v>
      </c>
      <c r="E52" s="797"/>
      <c r="F52" s="797"/>
      <c r="G52" s="289" t="str">
        <f>IF(G50=0,"-",G51/G50)</f>
        <v>-</v>
      </c>
      <c r="H52" s="289" t="str">
        <f>IF(H50=0,"-",H51/H50)</f>
        <v>-</v>
      </c>
      <c r="I52" s="289" t="str">
        <f>IF(I50=0,"-",I51/I50)</f>
        <v>-</v>
      </c>
      <c r="J52" s="289" t="str">
        <f>IF(J50=0,"-",J51/J50)</f>
        <v>-</v>
      </c>
      <c r="K52" s="289" t="str">
        <f>IF(K50=0,"-",K51/K50)</f>
        <v>-</v>
      </c>
      <c r="L52" s="71"/>
      <c r="M52" s="10"/>
    </row>
    <row r="53" spans="1:16" x14ac:dyDescent="0.3">
      <c r="B53" s="607" t="str">
        <f>IF(Intro!$G$20="English",O53,P53)</f>
        <v>Total sales in Canada</v>
      </c>
      <c r="C53" s="608"/>
      <c r="D53" s="749" t="str">
        <f>D50</f>
        <v>tonnes</v>
      </c>
      <c r="E53" s="749"/>
      <c r="F53" s="749"/>
      <c r="G53" s="139">
        <f t="shared" ref="G53:K53" si="6">G47+G50</f>
        <v>0</v>
      </c>
      <c r="H53" s="139">
        <f t="shared" si="6"/>
        <v>0</v>
      </c>
      <c r="I53" s="139">
        <f t="shared" si="6"/>
        <v>0</v>
      </c>
      <c r="J53" s="139">
        <f t="shared" si="6"/>
        <v>0</v>
      </c>
      <c r="K53" s="139">
        <f t="shared" si="6"/>
        <v>0</v>
      </c>
      <c r="L53" s="71"/>
      <c r="M53" s="10"/>
      <c r="O53" s="10" t="s">
        <v>345</v>
      </c>
      <c r="P53" s="10" t="s">
        <v>346</v>
      </c>
    </row>
    <row r="54" spans="1:16" x14ac:dyDescent="0.3">
      <c r="B54" s="596"/>
      <c r="C54" s="597"/>
      <c r="D54" s="771" t="str">
        <f>D51</f>
        <v>net delivered selling value (CAD)</v>
      </c>
      <c r="E54" s="771"/>
      <c r="F54" s="771"/>
      <c r="G54" s="138">
        <f t="shared" ref="G54:K54" si="7">G48+G51</f>
        <v>0</v>
      </c>
      <c r="H54" s="138">
        <f t="shared" si="7"/>
        <v>0</v>
      </c>
      <c r="I54" s="138">
        <f t="shared" si="7"/>
        <v>0</v>
      </c>
      <c r="J54" s="138">
        <f t="shared" si="7"/>
        <v>0</v>
      </c>
      <c r="K54" s="138">
        <f t="shared" si="7"/>
        <v>0</v>
      </c>
      <c r="L54" s="71"/>
      <c r="M54" s="10"/>
    </row>
    <row r="55" spans="1:16" x14ac:dyDescent="0.3">
      <c r="B55" s="596"/>
      <c r="C55" s="597"/>
      <c r="D55" s="771" t="str">
        <f>D52</f>
        <v>$ / tonne</v>
      </c>
      <c r="E55" s="771"/>
      <c r="F55" s="771"/>
      <c r="G55" s="289" t="str">
        <f>IF(G53=0,"-",G54/G53)</f>
        <v>-</v>
      </c>
      <c r="H55" s="289" t="str">
        <f>IF(H53=0,"-",H54/H53)</f>
        <v>-</v>
      </c>
      <c r="I55" s="289" t="str">
        <f>IF(I53=0,"-",I54/I53)</f>
        <v>-</v>
      </c>
      <c r="J55" s="289" t="str">
        <f>IF(J53=0,"-",J54/J53)</f>
        <v>-</v>
      </c>
      <c r="K55" s="289" t="str">
        <f>IF(K53=0,"-",K54/K53)</f>
        <v>-</v>
      </c>
      <c r="L55" s="71"/>
      <c r="M55" s="10"/>
    </row>
    <row r="56" spans="1:16" x14ac:dyDescent="0.3">
      <c r="B56" s="258"/>
      <c r="C56" s="35"/>
      <c r="D56" s="35"/>
      <c r="E56" s="36"/>
      <c r="F56" s="36"/>
      <c r="G56" s="36"/>
      <c r="H56" s="36"/>
      <c r="I56" s="36"/>
      <c r="J56" s="36"/>
      <c r="K56" s="36"/>
      <c r="L56" s="17"/>
      <c r="M56" s="10"/>
      <c r="O56" s="18"/>
    </row>
    <row r="57" spans="1:16" x14ac:dyDescent="0.3">
      <c r="B57" s="800" t="str">
        <f>IF(Intro!G$20="English",O57,P57)</f>
        <v>Unfinished (Green Balls)</v>
      </c>
      <c r="C57" s="801"/>
      <c r="D57" s="801"/>
      <c r="E57" s="801"/>
      <c r="F57" s="802"/>
      <c r="G57" s="266">
        <f>G41</f>
        <v>2023</v>
      </c>
      <c r="H57" s="266">
        <f>H41</f>
        <v>2024</v>
      </c>
      <c r="I57" s="266">
        <f t="shared" ref="I57:K57" si="8">I41</f>
        <v>2025</v>
      </c>
      <c r="J57" s="266" t="str">
        <f t="shared" si="8"/>
        <v>Jan-Mar 2025</v>
      </c>
      <c r="K57" s="266" t="str">
        <f t="shared" si="8"/>
        <v>Jan-Mar 2026</v>
      </c>
      <c r="L57" s="71"/>
      <c r="M57" s="10"/>
      <c r="O57" s="18" t="str">
        <f>Variables!B72</f>
        <v>Unfinished (Green Balls)</v>
      </c>
      <c r="P57" s="18" t="str">
        <f>Variables!C72</f>
        <v>Non finis (les boulets verts)</v>
      </c>
    </row>
    <row r="58" spans="1:16" s="262" customFormat="1" x14ac:dyDescent="0.3">
      <c r="A58" s="32"/>
      <c r="B58" s="740" t="str">
        <f>IF(Intro!$G$20="English",O58,P58)</f>
        <v>Imports in Canada</v>
      </c>
      <c r="C58" s="741"/>
      <c r="D58" s="741"/>
      <c r="E58" s="741"/>
      <c r="F58" s="741"/>
      <c r="G58" s="741"/>
      <c r="H58" s="741"/>
      <c r="I58" s="741"/>
      <c r="J58" s="741"/>
      <c r="K58" s="741"/>
      <c r="L58" s="71"/>
      <c r="O58" s="26" t="s">
        <v>233</v>
      </c>
      <c r="P58" s="262" t="s">
        <v>234</v>
      </c>
    </row>
    <row r="59" spans="1:16" x14ac:dyDescent="0.3">
      <c r="B59" s="540" t="str">
        <f>IF(Intro!$G$20="English",O59,P59)</f>
        <v>Imports</v>
      </c>
      <c r="C59" s="541"/>
      <c r="D59" s="799" t="str">
        <f>IF(Intro!$G$20="English",Variables!$B$23,Variables!$C$23)</f>
        <v>tonnes</v>
      </c>
      <c r="E59" s="799"/>
      <c r="F59" s="799"/>
      <c r="G59" s="137"/>
      <c r="H59" s="137"/>
      <c r="I59" s="137"/>
      <c r="J59" s="137"/>
      <c r="K59" s="131"/>
      <c r="L59" s="71"/>
      <c r="M59" s="10"/>
      <c r="O59" s="10" t="s">
        <v>91</v>
      </c>
      <c r="P59" s="10" t="s">
        <v>169</v>
      </c>
    </row>
    <row r="60" spans="1:16" x14ac:dyDescent="0.3">
      <c r="B60" s="540"/>
      <c r="C60" s="541"/>
      <c r="D60" s="799" t="str">
        <f>IF(Intro!G$20="English",O60,P60)</f>
        <v>net delivered purchase value (CAD)</v>
      </c>
      <c r="E60" s="799"/>
      <c r="F60" s="799"/>
      <c r="G60" s="137"/>
      <c r="H60" s="137"/>
      <c r="I60" s="137"/>
      <c r="J60" s="137"/>
      <c r="K60" s="131"/>
      <c r="L60" s="71"/>
      <c r="M60" s="10"/>
      <c r="O60" s="10" t="s">
        <v>342</v>
      </c>
      <c r="P60" s="10" t="s">
        <v>341</v>
      </c>
    </row>
    <row r="61" spans="1:16" x14ac:dyDescent="0.3">
      <c r="B61" s="540"/>
      <c r="C61" s="541"/>
      <c r="D61" s="799" t="str">
        <f>"$ / "&amp;IF(Intro!$G$20="English",Variables!$B$24,Variables!$C$24)</f>
        <v>$ / tonne</v>
      </c>
      <c r="E61" s="799"/>
      <c r="F61" s="799"/>
      <c r="G61" s="289" t="str">
        <f>IF(G59=0,"-",G60/G59)</f>
        <v>-</v>
      </c>
      <c r="H61" s="289" t="str">
        <f>IF(H59=0,"-",H60/H59)</f>
        <v>-</v>
      </c>
      <c r="I61" s="289" t="str">
        <f>IF(I59=0,"-",I60/I59)</f>
        <v>-</v>
      </c>
      <c r="J61" s="289" t="str">
        <f>IF(J59=0,"-",J60/J59)</f>
        <v>-</v>
      </c>
      <c r="K61" s="289" t="str">
        <f>IF(K59=0,"-",K60/K59)</f>
        <v>-</v>
      </c>
      <c r="L61" s="71"/>
      <c r="M61" s="10"/>
    </row>
    <row r="62" spans="1:16" s="262" customFormat="1" x14ac:dyDescent="0.3">
      <c r="A62" s="32"/>
      <c r="B62" s="803" t="str">
        <f>IF(Intro!$G$20="English",O62,P62)</f>
        <v>Sales in Canada</v>
      </c>
      <c r="C62" s="662"/>
      <c r="D62" s="662"/>
      <c r="E62" s="662"/>
      <c r="F62" s="662"/>
      <c r="G62" s="662"/>
      <c r="H62" s="662"/>
      <c r="I62" s="662"/>
      <c r="J62" s="662"/>
      <c r="K62" s="662"/>
      <c r="L62" s="71"/>
      <c r="O62" s="26" t="s">
        <v>235</v>
      </c>
      <c r="P62" s="262" t="s">
        <v>236</v>
      </c>
    </row>
    <row r="63" spans="1:16" x14ac:dyDescent="0.3">
      <c r="B63" s="540" t="str">
        <f>IF(Intro!$G$20="English",O63,P63)</f>
        <v>Sales to end users in Canada</v>
      </c>
      <c r="C63" s="541"/>
      <c r="D63" s="799" t="str">
        <f>D59</f>
        <v>tonnes</v>
      </c>
      <c r="E63" s="799"/>
      <c r="F63" s="799"/>
      <c r="G63" s="137"/>
      <c r="H63" s="137"/>
      <c r="I63" s="137"/>
      <c r="J63" s="137"/>
      <c r="K63" s="131"/>
      <c r="L63" s="71"/>
      <c r="M63" s="10"/>
      <c r="O63" s="10" t="str">
        <f>"Sales to "&amp;Variables!$B$26&amp;" in Canada"</f>
        <v>Sales to end users in Canada</v>
      </c>
      <c r="P63" s="10" t="str">
        <f>"Ventes aux "&amp;Variables!$C$26&amp;" au Canada"</f>
        <v>Ventes aux utilisateurs finals au Canada</v>
      </c>
    </row>
    <row r="64" spans="1:16" x14ac:dyDescent="0.3">
      <c r="B64" s="540"/>
      <c r="C64" s="541"/>
      <c r="D64" s="799" t="str">
        <f>IF(Intro!G$20="English",O64,P64)</f>
        <v>net delivered selling value (CAD)</v>
      </c>
      <c r="E64" s="799"/>
      <c r="F64" s="799"/>
      <c r="G64" s="137"/>
      <c r="H64" s="137"/>
      <c r="I64" s="137"/>
      <c r="J64" s="137"/>
      <c r="K64" s="131"/>
      <c r="L64" s="71"/>
      <c r="M64" s="10"/>
      <c r="O64" s="10" t="s">
        <v>344</v>
      </c>
      <c r="P64" s="10" t="s">
        <v>343</v>
      </c>
    </row>
    <row r="65" spans="1:16" ht="15" thickBot="1" x14ac:dyDescent="0.35">
      <c r="B65" s="752"/>
      <c r="C65" s="753"/>
      <c r="D65" s="797" t="str">
        <f>D61</f>
        <v>$ / tonne</v>
      </c>
      <c r="E65" s="797"/>
      <c r="F65" s="797"/>
      <c r="G65" s="289" t="str">
        <f>IF(G63=0,"-",G64/G63)</f>
        <v>-</v>
      </c>
      <c r="H65" s="289" t="str">
        <f>IF(H63=0,"-",H64/H63)</f>
        <v>-</v>
      </c>
      <c r="I65" s="289" t="str">
        <f>IF(I63=0,"-",I64/I63)</f>
        <v>-</v>
      </c>
      <c r="J65" s="289" t="str">
        <f>IF(J63=0,"-",J64/J63)</f>
        <v>-</v>
      </c>
      <c r="K65" s="289" t="str">
        <f>IF(K63=0,"-",K64/K63)</f>
        <v>-</v>
      </c>
      <c r="L65" s="71"/>
      <c r="M65" s="10"/>
    </row>
    <row r="66" spans="1:16" x14ac:dyDescent="0.3">
      <c r="B66" s="754" t="str">
        <f>IF(Intro!$G$20="English",O66,P66)</f>
        <v>Sales to other in Canada</v>
      </c>
      <c r="C66" s="755"/>
      <c r="D66" s="798" t="str">
        <f t="shared" ref="D66:D68" si="9">D63</f>
        <v>tonnes</v>
      </c>
      <c r="E66" s="798"/>
      <c r="F66" s="798"/>
      <c r="G66" s="137"/>
      <c r="H66" s="137"/>
      <c r="I66" s="137"/>
      <c r="J66" s="137"/>
      <c r="K66" s="131"/>
      <c r="L66" s="71"/>
      <c r="M66" s="10"/>
      <c r="O66" s="10" t="str">
        <f>"Sales to "&amp;Variables!$B$27&amp;" in Canada"</f>
        <v>Sales to other in Canada</v>
      </c>
      <c r="P66" s="10" t="str">
        <f>"Ventes aux "&amp;Variables!$C$27&amp;" au Canada"</f>
        <v>Ventes aux autre au Canada</v>
      </c>
    </row>
    <row r="67" spans="1:16" x14ac:dyDescent="0.3">
      <c r="B67" s="540"/>
      <c r="C67" s="541"/>
      <c r="D67" s="799" t="str">
        <f t="shared" si="9"/>
        <v>net delivered selling value (CAD)</v>
      </c>
      <c r="E67" s="799"/>
      <c r="F67" s="799"/>
      <c r="G67" s="137"/>
      <c r="H67" s="137"/>
      <c r="I67" s="137"/>
      <c r="J67" s="137"/>
      <c r="K67" s="131"/>
      <c r="L67" s="71"/>
      <c r="M67" s="10"/>
    </row>
    <row r="68" spans="1:16" ht="15" thickBot="1" x14ac:dyDescent="0.35">
      <c r="B68" s="752"/>
      <c r="C68" s="753"/>
      <c r="D68" s="797" t="str">
        <f t="shared" si="9"/>
        <v>$ / tonne</v>
      </c>
      <c r="E68" s="797"/>
      <c r="F68" s="797"/>
      <c r="G68" s="289" t="str">
        <f>IF(G66=0,"-",G67/G66)</f>
        <v>-</v>
      </c>
      <c r="H68" s="289" t="str">
        <f>IF(H66=0,"-",H67/H66)</f>
        <v>-</v>
      </c>
      <c r="I68" s="289" t="str">
        <f>IF(I66=0,"-",I67/I66)</f>
        <v>-</v>
      </c>
      <c r="J68" s="289" t="str">
        <f>IF(J66=0,"-",J67/J66)</f>
        <v>-</v>
      </c>
      <c r="K68" s="289" t="str">
        <f>IF(K66=0,"-",K67/K66)</f>
        <v>-</v>
      </c>
      <c r="L68" s="71"/>
      <c r="M68" s="10"/>
    </row>
    <row r="69" spans="1:16" x14ac:dyDescent="0.3">
      <c r="B69" s="607" t="str">
        <f>IF(Intro!$G$20="English",O69,P69)</f>
        <v>Total sales in Canada</v>
      </c>
      <c r="C69" s="608"/>
      <c r="D69" s="749" t="str">
        <f>D66</f>
        <v>tonnes</v>
      </c>
      <c r="E69" s="749"/>
      <c r="F69" s="749"/>
      <c r="G69" s="139">
        <f t="shared" ref="G69:K69" si="10">G63+G66</f>
        <v>0</v>
      </c>
      <c r="H69" s="139">
        <f t="shared" si="10"/>
        <v>0</v>
      </c>
      <c r="I69" s="139">
        <f t="shared" si="10"/>
        <v>0</v>
      </c>
      <c r="J69" s="139">
        <f t="shared" si="10"/>
        <v>0</v>
      </c>
      <c r="K69" s="139">
        <f t="shared" si="10"/>
        <v>0</v>
      </c>
      <c r="L69" s="71"/>
      <c r="M69" s="10"/>
      <c r="O69" s="10" t="s">
        <v>345</v>
      </c>
      <c r="P69" s="10" t="s">
        <v>346</v>
      </c>
    </row>
    <row r="70" spans="1:16" x14ac:dyDescent="0.3">
      <c r="B70" s="596"/>
      <c r="C70" s="597"/>
      <c r="D70" s="771" t="str">
        <f>D67</f>
        <v>net delivered selling value (CAD)</v>
      </c>
      <c r="E70" s="771"/>
      <c r="F70" s="771"/>
      <c r="G70" s="138">
        <f t="shared" ref="G70:K70" si="11">G64+G67</f>
        <v>0</v>
      </c>
      <c r="H70" s="138">
        <f t="shared" si="11"/>
        <v>0</v>
      </c>
      <c r="I70" s="138">
        <f t="shared" si="11"/>
        <v>0</v>
      </c>
      <c r="J70" s="138">
        <f t="shared" si="11"/>
        <v>0</v>
      </c>
      <c r="K70" s="138">
        <f t="shared" si="11"/>
        <v>0</v>
      </c>
      <c r="L70" s="71"/>
      <c r="M70" s="10"/>
    </row>
    <row r="71" spans="1:16" x14ac:dyDescent="0.3">
      <c r="B71" s="596"/>
      <c r="C71" s="597"/>
      <c r="D71" s="771" t="str">
        <f>D68</f>
        <v>$ / tonne</v>
      </c>
      <c r="E71" s="771"/>
      <c r="F71" s="771"/>
      <c r="G71" s="289" t="str">
        <f>IF(G69=0,"-",G70/G69)</f>
        <v>-</v>
      </c>
      <c r="H71" s="289" t="str">
        <f>IF(H69=0,"-",H70/H69)</f>
        <v>-</v>
      </c>
      <c r="I71" s="289" t="str">
        <f>IF(I69=0,"-",I70/I69)</f>
        <v>-</v>
      </c>
      <c r="J71" s="289" t="str">
        <f>IF(J69=0,"-",J70/J69)</f>
        <v>-</v>
      </c>
      <c r="K71" s="289" t="str">
        <f>IF(K69=0,"-",K70/K69)</f>
        <v>-</v>
      </c>
      <c r="L71" s="71"/>
      <c r="M71" s="10"/>
    </row>
    <row r="72" spans="1:16" hidden="1" x14ac:dyDescent="0.3">
      <c r="B72" s="258"/>
      <c r="C72" s="35"/>
      <c r="D72" s="35"/>
      <c r="E72" s="36"/>
      <c r="F72" s="36"/>
      <c r="G72" s="36"/>
      <c r="H72" s="36"/>
      <c r="I72" s="36"/>
      <c r="J72" s="36"/>
      <c r="K72" s="36"/>
      <c r="L72" s="17"/>
      <c r="M72" s="10"/>
      <c r="O72" s="18"/>
    </row>
    <row r="73" spans="1:16" hidden="1" x14ac:dyDescent="0.3">
      <c r="B73" s="258"/>
      <c r="C73" s="259"/>
      <c r="D73" s="35"/>
      <c r="G73" s="266">
        <f>G57</f>
        <v>2023</v>
      </c>
      <c r="H73" s="266">
        <f>H57</f>
        <v>2024</v>
      </c>
      <c r="I73" s="266">
        <f t="shared" ref="I73:K73" si="12">I57</f>
        <v>2025</v>
      </c>
      <c r="J73" s="266" t="str">
        <f t="shared" si="12"/>
        <v>Jan-Mar 2025</v>
      </c>
      <c r="K73" s="266" t="str">
        <f t="shared" si="12"/>
        <v>Jan-Mar 2026</v>
      </c>
      <c r="L73" s="71"/>
      <c r="M73" s="10"/>
      <c r="O73" s="18"/>
    </row>
    <row r="74" spans="1:16" s="262" customFormat="1" hidden="1" x14ac:dyDescent="0.3">
      <c r="A74" s="32"/>
      <c r="B74" s="740" t="str">
        <f>IF(Intro!$G$20="English",O74,P74)</f>
        <v>Imports in Canada</v>
      </c>
      <c r="C74" s="741"/>
      <c r="D74" s="741"/>
      <c r="E74" s="741"/>
      <c r="F74" s="741"/>
      <c r="G74" s="741"/>
      <c r="H74" s="741"/>
      <c r="I74" s="741"/>
      <c r="J74" s="741"/>
      <c r="K74" s="741"/>
      <c r="L74" s="71"/>
      <c r="O74" s="26" t="s">
        <v>233</v>
      </c>
      <c r="P74" s="262" t="s">
        <v>234</v>
      </c>
    </row>
    <row r="75" spans="1:16" hidden="1" x14ac:dyDescent="0.3">
      <c r="B75" s="540" t="str">
        <f>IF(Intro!$G$20="English",O75,P75)</f>
        <v>Imports</v>
      </c>
      <c r="C75" s="541"/>
      <c r="D75" s="799" t="str">
        <f>IF(Intro!$G$20="English",Variables!$B$23,Variables!$C$23)</f>
        <v>tonnes</v>
      </c>
      <c r="E75" s="799"/>
      <c r="F75" s="799"/>
      <c r="G75" s="137"/>
      <c r="H75" s="137"/>
      <c r="I75" s="137"/>
      <c r="J75" s="137"/>
      <c r="K75" s="131"/>
      <c r="L75" s="71"/>
      <c r="M75" s="10"/>
      <c r="O75" s="10" t="s">
        <v>91</v>
      </c>
      <c r="P75" s="10" t="s">
        <v>169</v>
      </c>
    </row>
    <row r="76" spans="1:16" hidden="1" x14ac:dyDescent="0.3">
      <c r="B76" s="540"/>
      <c r="C76" s="541"/>
      <c r="D76" s="799" t="str">
        <f>IF(Intro!G$20="English",O76,P76)</f>
        <v>net delivered purchase value (CAD)</v>
      </c>
      <c r="E76" s="799"/>
      <c r="F76" s="799"/>
      <c r="G76" s="137"/>
      <c r="H76" s="137"/>
      <c r="I76" s="137"/>
      <c r="J76" s="137"/>
      <c r="K76" s="131"/>
      <c r="L76" s="71"/>
      <c r="M76" s="10"/>
      <c r="O76" s="10" t="s">
        <v>342</v>
      </c>
      <c r="P76" s="10" t="s">
        <v>341</v>
      </c>
    </row>
    <row r="77" spans="1:16" hidden="1" x14ac:dyDescent="0.3">
      <c r="B77" s="540"/>
      <c r="C77" s="541"/>
      <c r="D77" s="799" t="str">
        <f>"$ / "&amp;IF(Intro!$G$20="English",Variables!$B$24,Variables!$C$24)</f>
        <v>$ / tonne</v>
      </c>
      <c r="E77" s="799"/>
      <c r="F77" s="799"/>
      <c r="G77" s="157" t="str">
        <f>IF(G75=0,"-",G76/G75)</f>
        <v>-</v>
      </c>
      <c r="H77" s="157" t="str">
        <f>IF(H75=0,"-",H76/H75)</f>
        <v>-</v>
      </c>
      <c r="I77" s="157" t="str">
        <f>IF(I75=0,"-",I76/I75)</f>
        <v>-</v>
      </c>
      <c r="J77" s="157" t="str">
        <f>IF(J75=0,"-",J76/J75)</f>
        <v>-</v>
      </c>
      <c r="K77" s="157" t="str">
        <f>IF(K75=0,"-",K76/K75)</f>
        <v>-</v>
      </c>
      <c r="L77" s="71"/>
      <c r="M77" s="10"/>
    </row>
    <row r="78" spans="1:16" s="262" customFormat="1" hidden="1" x14ac:dyDescent="0.3">
      <c r="A78" s="32"/>
      <c r="B78" s="803" t="str">
        <f>IF(Intro!$G$20="English",O78,P78)</f>
        <v>Sales in Canada</v>
      </c>
      <c r="C78" s="662"/>
      <c r="D78" s="662"/>
      <c r="E78" s="662"/>
      <c r="F78" s="662"/>
      <c r="G78" s="662"/>
      <c r="H78" s="662"/>
      <c r="I78" s="662"/>
      <c r="J78" s="662"/>
      <c r="K78" s="662"/>
      <c r="L78" s="71"/>
      <c r="O78" s="26" t="s">
        <v>235</v>
      </c>
      <c r="P78" s="262" t="s">
        <v>236</v>
      </c>
    </row>
    <row r="79" spans="1:16" hidden="1" x14ac:dyDescent="0.3">
      <c r="B79" s="540" t="str">
        <f>IF(Intro!$G$20="English",O79,P79)</f>
        <v>Sales to end users in Canada</v>
      </c>
      <c r="C79" s="541"/>
      <c r="D79" s="799" t="str">
        <f>D75</f>
        <v>tonnes</v>
      </c>
      <c r="E79" s="799"/>
      <c r="F79" s="799"/>
      <c r="G79" s="137"/>
      <c r="H79" s="137"/>
      <c r="I79" s="137"/>
      <c r="J79" s="137"/>
      <c r="K79" s="131"/>
      <c r="L79" s="71"/>
      <c r="M79" s="10"/>
      <c r="O79" s="10" t="str">
        <f>"Sales to "&amp;Variables!$B$26&amp;" in Canada"</f>
        <v>Sales to end users in Canada</v>
      </c>
      <c r="P79" s="10" t="str">
        <f>"Ventes aux "&amp;Variables!$C$26&amp;" au Canada"</f>
        <v>Ventes aux utilisateurs finals au Canada</v>
      </c>
    </row>
    <row r="80" spans="1:16" hidden="1" x14ac:dyDescent="0.3">
      <c r="B80" s="540"/>
      <c r="C80" s="541"/>
      <c r="D80" s="799" t="str">
        <f>IF(Intro!G$20="English",O80,P80)</f>
        <v>net delivered selling value (CAD)</v>
      </c>
      <c r="E80" s="799"/>
      <c r="F80" s="799"/>
      <c r="G80" s="137"/>
      <c r="H80" s="137"/>
      <c r="I80" s="137"/>
      <c r="J80" s="137"/>
      <c r="K80" s="131"/>
      <c r="L80" s="71"/>
      <c r="M80" s="10"/>
      <c r="O80" s="10" t="s">
        <v>344</v>
      </c>
      <c r="P80" s="10" t="s">
        <v>343</v>
      </c>
    </row>
    <row r="81" spans="1:16" ht="15" hidden="1" thickBot="1" x14ac:dyDescent="0.35">
      <c r="B81" s="752"/>
      <c r="C81" s="753"/>
      <c r="D81" s="797" t="str">
        <f>D77</f>
        <v>$ / tonne</v>
      </c>
      <c r="E81" s="797"/>
      <c r="F81" s="797"/>
      <c r="G81" s="157" t="str">
        <f>IF(G79=0,"-",G80/G79)</f>
        <v>-</v>
      </c>
      <c r="H81" s="157" t="str">
        <f>IF(H79=0,"-",H80/H79)</f>
        <v>-</v>
      </c>
      <c r="I81" s="157" t="str">
        <f>IF(I79=0,"-",I80/I79)</f>
        <v>-</v>
      </c>
      <c r="J81" s="157" t="str">
        <f t="shared" ref="J81:K81" si="13">IF(J79=0,"-",J80/J79)</f>
        <v>-</v>
      </c>
      <c r="K81" s="157" t="str">
        <f t="shared" si="13"/>
        <v>-</v>
      </c>
      <c r="L81" s="71"/>
      <c r="M81" s="10"/>
    </row>
    <row r="82" spans="1:16" hidden="1" x14ac:dyDescent="0.3">
      <c r="B82" s="754" t="str">
        <f>IF(Intro!$G$20="English",O82,P82)</f>
        <v>Sales to other in Canada</v>
      </c>
      <c r="C82" s="755"/>
      <c r="D82" s="798" t="str">
        <f t="shared" ref="D82:D84" si="14">D79</f>
        <v>tonnes</v>
      </c>
      <c r="E82" s="798"/>
      <c r="F82" s="798"/>
      <c r="G82" s="137"/>
      <c r="H82" s="137"/>
      <c r="I82" s="137"/>
      <c r="J82" s="137"/>
      <c r="K82" s="131"/>
      <c r="L82" s="71"/>
      <c r="M82" s="10"/>
      <c r="O82" s="10" t="str">
        <f>"Sales to "&amp;Variables!$B$27&amp;" in Canada"</f>
        <v>Sales to other in Canada</v>
      </c>
      <c r="P82" s="10" t="str">
        <f>"Ventes aux "&amp;Variables!$C$27&amp;" au Canada"</f>
        <v>Ventes aux autre au Canada</v>
      </c>
    </row>
    <row r="83" spans="1:16" hidden="1" x14ac:dyDescent="0.3">
      <c r="B83" s="540"/>
      <c r="C83" s="541"/>
      <c r="D83" s="799" t="str">
        <f t="shared" si="14"/>
        <v>net delivered selling value (CAD)</v>
      </c>
      <c r="E83" s="799"/>
      <c r="F83" s="799"/>
      <c r="G83" s="137"/>
      <c r="H83" s="137"/>
      <c r="I83" s="137"/>
      <c r="J83" s="137"/>
      <c r="K83" s="131"/>
      <c r="L83" s="71"/>
      <c r="M83" s="10"/>
    </row>
    <row r="84" spans="1:16" ht="15" hidden="1" thickBot="1" x14ac:dyDescent="0.35">
      <c r="B84" s="752"/>
      <c r="C84" s="753"/>
      <c r="D84" s="797" t="str">
        <f t="shared" si="14"/>
        <v>$ / tonne</v>
      </c>
      <c r="E84" s="797"/>
      <c r="F84" s="797"/>
      <c r="G84" s="157" t="str">
        <f>IF(G82=0,"-",G83/G82)</f>
        <v>-</v>
      </c>
      <c r="H84" s="157" t="str">
        <f>IF(H82=0,"-",H83/H82)</f>
        <v>-</v>
      </c>
      <c r="I84" s="157" t="str">
        <f>IF(I82=0,"-",I83/I82)</f>
        <v>-</v>
      </c>
      <c r="J84" s="157" t="str">
        <f t="shared" ref="J84:K84" si="15">IF(J82=0,"-",J83/J82)</f>
        <v>-</v>
      </c>
      <c r="K84" s="157" t="str">
        <f t="shared" si="15"/>
        <v>-</v>
      </c>
      <c r="L84" s="71"/>
      <c r="M84" s="10"/>
    </row>
    <row r="85" spans="1:16" hidden="1" x14ac:dyDescent="0.3">
      <c r="B85" s="607" t="str">
        <f>IF(Intro!$G$20="English",O85,P85)</f>
        <v>Total sales in Canada</v>
      </c>
      <c r="C85" s="608"/>
      <c r="D85" s="749" t="str">
        <f>D82</f>
        <v>tonnes</v>
      </c>
      <c r="E85" s="749"/>
      <c r="F85" s="749"/>
      <c r="G85" s="139">
        <f t="shared" ref="G85:K85" si="16">G79+G82</f>
        <v>0</v>
      </c>
      <c r="H85" s="139">
        <f t="shared" si="16"/>
        <v>0</v>
      </c>
      <c r="I85" s="139">
        <f t="shared" si="16"/>
        <v>0</v>
      </c>
      <c r="J85" s="139">
        <f t="shared" si="16"/>
        <v>0</v>
      </c>
      <c r="K85" s="139">
        <f t="shared" si="16"/>
        <v>0</v>
      </c>
      <c r="L85" s="71"/>
      <c r="M85" s="10"/>
      <c r="O85" s="10" t="s">
        <v>345</v>
      </c>
      <c r="P85" s="10" t="s">
        <v>346</v>
      </c>
    </row>
    <row r="86" spans="1:16" hidden="1" x14ac:dyDescent="0.3">
      <c r="B86" s="596"/>
      <c r="C86" s="597"/>
      <c r="D86" s="771" t="str">
        <f>D83</f>
        <v>net delivered selling value (CAD)</v>
      </c>
      <c r="E86" s="771"/>
      <c r="F86" s="771"/>
      <c r="G86" s="138">
        <f t="shared" ref="G86:K86" si="17">G80+G83</f>
        <v>0</v>
      </c>
      <c r="H86" s="138">
        <f t="shared" si="17"/>
        <v>0</v>
      </c>
      <c r="I86" s="138">
        <f t="shared" si="17"/>
        <v>0</v>
      </c>
      <c r="J86" s="138">
        <f t="shared" si="17"/>
        <v>0</v>
      </c>
      <c r="K86" s="138">
        <f t="shared" si="17"/>
        <v>0</v>
      </c>
      <c r="L86" s="71"/>
      <c r="M86" s="10"/>
    </row>
    <row r="87" spans="1:16" hidden="1" x14ac:dyDescent="0.3">
      <c r="B87" s="596"/>
      <c r="C87" s="597"/>
      <c r="D87" s="771" t="str">
        <f>D84</f>
        <v>$ / tonne</v>
      </c>
      <c r="E87" s="771"/>
      <c r="F87" s="771"/>
      <c r="G87" s="157" t="str">
        <f>IF(G85=0,"-",G86/G85)</f>
        <v>-</v>
      </c>
      <c r="H87" s="157" t="str">
        <f>IF(H85=0,"-",H86/H85)</f>
        <v>-</v>
      </c>
      <c r="I87" s="157" t="str">
        <f>IF(I85=0,"-",I86/I85)</f>
        <v>-</v>
      </c>
      <c r="J87" s="157" t="str">
        <f t="shared" ref="J87:K87" si="18">IF(J85=0,"-",J86/J85)</f>
        <v>-</v>
      </c>
      <c r="K87" s="157" t="str">
        <f t="shared" si="18"/>
        <v>-</v>
      </c>
      <c r="L87" s="71"/>
      <c r="M87" s="10"/>
    </row>
    <row r="88" spans="1:16" hidden="1" x14ac:dyDescent="0.3">
      <c r="B88" s="72"/>
      <c r="C88" s="84"/>
      <c r="D88" s="84"/>
      <c r="E88" s="84"/>
      <c r="F88" s="84"/>
      <c r="G88" s="84"/>
      <c r="H88" s="84"/>
      <c r="I88" s="84"/>
      <c r="J88" s="84"/>
      <c r="K88" s="84"/>
      <c r="L88" s="85"/>
      <c r="M88" s="10"/>
    </row>
    <row r="89" spans="1:16" s="11" customFormat="1" x14ac:dyDescent="0.3">
      <c r="A89" s="7"/>
      <c r="B89" s="31"/>
      <c r="C89" s="90"/>
      <c r="D89" s="90"/>
      <c r="E89" s="91"/>
      <c r="F89" s="91"/>
      <c r="G89" s="91"/>
      <c r="H89" s="91"/>
      <c r="I89" s="91"/>
      <c r="J89" s="91"/>
      <c r="K89" s="91"/>
      <c r="L89" s="91"/>
      <c r="M89" s="73"/>
    </row>
    <row r="90" spans="1:16" x14ac:dyDescent="0.3">
      <c r="B90" s="506" t="str">
        <f>IF(Intro!$G$20="English",O90,P90)</f>
        <v>SALES IN CANADA OF IMPORTS TO THE TOP FIVE ACCOUNTS</v>
      </c>
      <c r="C90" s="507"/>
      <c r="D90" s="507"/>
      <c r="E90" s="507"/>
      <c r="F90" s="507"/>
      <c r="G90" s="507"/>
      <c r="H90" s="507"/>
      <c r="I90" s="507"/>
      <c r="J90" s="507"/>
      <c r="K90" s="507"/>
      <c r="L90" s="508"/>
      <c r="M90" s="10"/>
      <c r="O90" s="107" t="s">
        <v>334</v>
      </c>
      <c r="P90" s="107" t="s">
        <v>433</v>
      </c>
    </row>
    <row r="91" spans="1:16" s="11" customFormat="1" x14ac:dyDescent="0.3">
      <c r="A91" s="7"/>
      <c r="B91" s="647" t="s">
        <v>15</v>
      </c>
      <c r="C91" s="648"/>
      <c r="D91" s="648"/>
      <c r="E91" s="648"/>
      <c r="F91" s="648"/>
      <c r="G91" s="648"/>
      <c r="H91" s="648"/>
      <c r="I91" s="648"/>
      <c r="J91" s="648"/>
      <c r="K91" s="648"/>
      <c r="L91" s="649"/>
      <c r="M91" s="73"/>
      <c r="O91" s="10"/>
    </row>
    <row r="92" spans="1:16" x14ac:dyDescent="0.3">
      <c r="B92" s="16"/>
      <c r="C92" s="35"/>
      <c r="D92" s="35"/>
      <c r="E92" s="36"/>
      <c r="F92" s="36"/>
      <c r="G92" s="36"/>
      <c r="H92" s="36"/>
      <c r="I92" s="36"/>
      <c r="J92" s="36"/>
      <c r="K92" s="36"/>
      <c r="L92" s="17"/>
      <c r="M92" s="10"/>
    </row>
    <row r="93" spans="1:16" x14ac:dyDescent="0.3">
      <c r="B93" s="503" t="str">
        <f>IF(Intro!$G$20="English",O93,P93)</f>
        <v xml:space="preserve">Report the volume and value of sales of imports in Canada for each account listed below : </v>
      </c>
      <c r="C93" s="504"/>
      <c r="D93" s="504"/>
      <c r="E93" s="504"/>
      <c r="F93" s="504"/>
      <c r="G93" s="504"/>
      <c r="H93" s="504"/>
      <c r="I93" s="504"/>
      <c r="J93" s="504"/>
      <c r="K93" s="504"/>
      <c r="L93" s="505"/>
      <c r="M93" s="10"/>
      <c r="O93" s="18" t="s">
        <v>171</v>
      </c>
      <c r="P93" s="10" t="s">
        <v>172</v>
      </c>
    </row>
    <row r="94" spans="1:16" x14ac:dyDescent="0.3">
      <c r="B94" s="503" t="str">
        <f>Pro!B22</f>
        <v>Note - Only complete this question if your firm sold the goods between January 1, 2023, and March 31, 2026.</v>
      </c>
      <c r="C94" s="504"/>
      <c r="D94" s="504"/>
      <c r="E94" s="504"/>
      <c r="F94" s="504"/>
      <c r="G94" s="504"/>
      <c r="H94" s="504"/>
      <c r="I94" s="504"/>
      <c r="J94" s="504"/>
      <c r="K94" s="504"/>
      <c r="L94" s="505"/>
      <c r="M94" s="10"/>
      <c r="O94" s="18"/>
    </row>
    <row r="95" spans="1:16" x14ac:dyDescent="0.3">
      <c r="B95" s="79"/>
      <c r="C95" s="35"/>
      <c r="D95" s="35"/>
      <c r="E95" s="36"/>
      <c r="F95" s="36"/>
      <c r="G95" s="36"/>
      <c r="H95" s="36"/>
      <c r="I95" s="36"/>
      <c r="J95" s="36"/>
      <c r="K95" s="36"/>
      <c r="L95" s="17"/>
      <c r="M95" s="10"/>
      <c r="O95" s="18"/>
    </row>
    <row r="96" spans="1:16" x14ac:dyDescent="0.3">
      <c r="B96" s="779"/>
      <c r="C96" s="780"/>
      <c r="D96" s="781"/>
      <c r="E96" s="129" t="str">
        <f>IF(Intro!$G$20="English","Q","T")&amp;IF(MID(F96,2,1)&lt;&gt;"1",MID(F96,2,1)-1&amp;" - "&amp;MID(F96,6,4),"4 - "&amp;MID(F96,6,4)-1)</f>
        <v>Q2 - 2024</v>
      </c>
      <c r="F96" s="129" t="str">
        <f>IF(Intro!$G$20="English","Q","T")&amp;IF(MID(G96,2,1)&lt;&gt;"1",MID(G96,2,1)-1&amp;" - "&amp;MID(G96,6,4),"4 - "&amp;MID(G96,6,4)-1)</f>
        <v>Q3 - 2024</v>
      </c>
      <c r="G96" s="129" t="str">
        <f>IF(Intro!$G$20="English","Q","T")&amp;IF(MID(H96,2,1)&lt;&gt;"1",MID(H96,2,1)-1&amp;" - "&amp;MID(H96,6,4),"4 - "&amp;MID(H96,6,4)-1)</f>
        <v>Q4 - 2024</v>
      </c>
      <c r="H96" s="129" t="str">
        <f>IF(Intro!$G$20="English","Q","T")&amp;IF(MID(I96,2,1)&lt;&gt;"1",MID(I96,2,1)-1&amp;" - "&amp;MID(I96,6,4),"4 - "&amp;MID(I96,6,4)-1)</f>
        <v>Q1 - 2025</v>
      </c>
      <c r="I96" s="129" t="str">
        <f>IF(Intro!$G$20="English","Q","T")&amp;IF(MID(J96,2,1)&lt;&gt;"1",MID(J96,2,1)-1&amp;" - "&amp;MID(J96,6,4),"4 - "&amp;MID(J96,6,4)-1)</f>
        <v>Q2 - 2025</v>
      </c>
      <c r="J96" s="129" t="str">
        <f>IF(Intro!$G$20="English","Q","T")&amp;IF(MID(K96,2,1)&lt;&gt;"1",MID(K96,2,1)-1&amp;" - "&amp;MID(K96,6,4),"4 - "&amp;MID(K96,6,4)-1)</f>
        <v>Q3 - 2025</v>
      </c>
      <c r="K96" s="129" t="str">
        <f>IF(Intro!$G$20="English","Q","T")&amp;IF(MID(L96,2,1)&lt;&gt;"1",MID(L96,2,1)-1&amp;" - "&amp;MID(L96,6,4),"4 - "&amp;MID(L96,6,4)-1)</f>
        <v>Q4 - 2025</v>
      </c>
      <c r="L96" s="140" t="str">
        <f>IF(Intro!$G$20="English",Variables!B29&amp;" - ",Variables!C29&amp;" - ")&amp;Variables!B8</f>
        <v>Q1 - 2026</v>
      </c>
      <c r="M96" s="10"/>
      <c r="O96" s="18"/>
    </row>
    <row r="97" spans="2:16" x14ac:dyDescent="0.3">
      <c r="B97" s="766" t="str">
        <f>IF(Intro!$G$20="English",O97,P97)</f>
        <v xml:space="preserve">Account 1 - </v>
      </c>
      <c r="C97" s="767"/>
      <c r="D97" s="767"/>
      <c r="E97" s="767"/>
      <c r="F97" s="767"/>
      <c r="G97" s="767"/>
      <c r="H97" s="767"/>
      <c r="I97" s="767"/>
      <c r="J97" s="767"/>
      <c r="K97" s="767"/>
      <c r="L97" s="768"/>
      <c r="M97" s="10"/>
      <c r="O97" s="10" t="str">
        <f>"Account 1 - "&amp;Pro!C119</f>
        <v xml:space="preserve">Account 1 - </v>
      </c>
      <c r="P97" s="10" t="str">
        <f>"Client 1 - "&amp;Pro!C119</f>
        <v xml:space="preserve">Client 1 - </v>
      </c>
    </row>
    <row r="98" spans="2:16" x14ac:dyDescent="0.3">
      <c r="B98" s="735" t="str">
        <f>IF(Intro!$G$20="English",Variables!$B$23,Variables!$C$23)</f>
        <v>tonnes</v>
      </c>
      <c r="C98" s="736"/>
      <c r="D98" s="736"/>
      <c r="E98" s="141"/>
      <c r="F98" s="141"/>
      <c r="G98" s="141"/>
      <c r="H98" s="141"/>
      <c r="I98" s="141"/>
      <c r="J98" s="141"/>
      <c r="K98" s="141"/>
      <c r="L98" s="142"/>
      <c r="M98" s="10"/>
    </row>
    <row r="99" spans="2:16" x14ac:dyDescent="0.3">
      <c r="B99" s="735" t="str">
        <f>IF(Intro!G$20="English","net delivered selling value (CAD)","valeur de vente nette rendue (CAD)")</f>
        <v>net delivered selling value (CAD)</v>
      </c>
      <c r="C99" s="736"/>
      <c r="D99" s="736"/>
      <c r="E99" s="141"/>
      <c r="F99" s="141"/>
      <c r="G99" s="141"/>
      <c r="H99" s="141"/>
      <c r="I99" s="141"/>
      <c r="J99" s="141"/>
      <c r="K99" s="141"/>
      <c r="L99" s="142"/>
      <c r="M99" s="10"/>
    </row>
    <row r="100" spans="2:16" x14ac:dyDescent="0.3">
      <c r="B100" s="735" t="str">
        <f>"$ / "&amp;IF(Intro!$G$20="English",Variables!$B$24,Variables!$C$24)</f>
        <v>$ / tonne</v>
      </c>
      <c r="C100" s="736"/>
      <c r="D100" s="736"/>
      <c r="E100" s="289" t="str">
        <f t="shared" ref="E100:L100" si="19">IF(E98=0,"-",E99/E98)</f>
        <v>-</v>
      </c>
      <c r="F100" s="289" t="str">
        <f t="shared" si="19"/>
        <v>-</v>
      </c>
      <c r="G100" s="289" t="str">
        <f t="shared" si="19"/>
        <v>-</v>
      </c>
      <c r="H100" s="289" t="str">
        <f t="shared" si="19"/>
        <v>-</v>
      </c>
      <c r="I100" s="289" t="str">
        <f t="shared" si="19"/>
        <v>-</v>
      </c>
      <c r="J100" s="289" t="str">
        <f t="shared" si="19"/>
        <v>-</v>
      </c>
      <c r="K100" s="289" t="str">
        <f t="shared" si="19"/>
        <v>-</v>
      </c>
      <c r="L100" s="290" t="str">
        <f t="shared" si="19"/>
        <v>-</v>
      </c>
      <c r="M100" s="10"/>
    </row>
    <row r="101" spans="2:16" x14ac:dyDescent="0.3">
      <c r="B101" s="766" t="str">
        <f>IF(Intro!$G$20="English",O101,P101)</f>
        <v xml:space="preserve">Account 2 - </v>
      </c>
      <c r="C101" s="767"/>
      <c r="D101" s="767"/>
      <c r="E101" s="767"/>
      <c r="F101" s="767"/>
      <c r="G101" s="767"/>
      <c r="H101" s="767"/>
      <c r="I101" s="767"/>
      <c r="J101" s="767"/>
      <c r="K101" s="767"/>
      <c r="L101" s="768"/>
      <c r="M101" s="10"/>
      <c r="O101" s="10" t="str">
        <f>"Account 2 - "&amp;Pro!C120</f>
        <v xml:space="preserve">Account 2 - </v>
      </c>
      <c r="P101" s="10" t="str">
        <f>"Client 2 - "&amp;Pro!C120</f>
        <v xml:space="preserve">Client 2 - </v>
      </c>
    </row>
    <row r="102" spans="2:16" x14ac:dyDescent="0.3">
      <c r="B102" s="735" t="str">
        <f>IF(Intro!$G$20="English",Variables!$B$23,Variables!$C$23)</f>
        <v>tonnes</v>
      </c>
      <c r="C102" s="736"/>
      <c r="D102" s="736"/>
      <c r="E102" s="141"/>
      <c r="F102" s="141"/>
      <c r="G102" s="141"/>
      <c r="H102" s="141"/>
      <c r="I102" s="141"/>
      <c r="J102" s="141"/>
      <c r="K102" s="141"/>
      <c r="L102" s="142"/>
      <c r="M102" s="10"/>
    </row>
    <row r="103" spans="2:16" x14ac:dyDescent="0.3">
      <c r="B103" s="735" t="str">
        <f>IF(Intro!G$20="English","net delivered selling value (CAD)","valeur de vente nette rendue (CAD)")</f>
        <v>net delivered selling value (CAD)</v>
      </c>
      <c r="C103" s="736"/>
      <c r="D103" s="736"/>
      <c r="E103" s="141"/>
      <c r="F103" s="141"/>
      <c r="G103" s="141"/>
      <c r="H103" s="141"/>
      <c r="I103" s="141"/>
      <c r="J103" s="141"/>
      <c r="K103" s="141"/>
      <c r="L103" s="142"/>
      <c r="M103" s="10"/>
    </row>
    <row r="104" spans="2:16" x14ac:dyDescent="0.3">
      <c r="B104" s="735" t="str">
        <f>"$ / "&amp;IF(Intro!$G$20="English",Variables!$B$24,Variables!$C$24)</f>
        <v>$ / tonne</v>
      </c>
      <c r="C104" s="736"/>
      <c r="D104" s="736"/>
      <c r="E104" s="289" t="str">
        <f t="shared" ref="E104:L104" si="20">IF(E102=0,"-",E103/E102)</f>
        <v>-</v>
      </c>
      <c r="F104" s="289" t="str">
        <f t="shared" si="20"/>
        <v>-</v>
      </c>
      <c r="G104" s="289" t="str">
        <f t="shared" si="20"/>
        <v>-</v>
      </c>
      <c r="H104" s="289" t="str">
        <f t="shared" si="20"/>
        <v>-</v>
      </c>
      <c r="I104" s="289" t="str">
        <f t="shared" si="20"/>
        <v>-</v>
      </c>
      <c r="J104" s="289" t="str">
        <f t="shared" si="20"/>
        <v>-</v>
      </c>
      <c r="K104" s="289" t="str">
        <f t="shared" si="20"/>
        <v>-</v>
      </c>
      <c r="L104" s="290" t="str">
        <f t="shared" si="20"/>
        <v>-</v>
      </c>
      <c r="M104" s="10"/>
    </row>
    <row r="105" spans="2:16" x14ac:dyDescent="0.3">
      <c r="B105" s="766" t="str">
        <f>IF(Intro!$G$20="English",O105,P105)</f>
        <v xml:space="preserve">Account 3 - </v>
      </c>
      <c r="C105" s="767"/>
      <c r="D105" s="767"/>
      <c r="E105" s="767"/>
      <c r="F105" s="767"/>
      <c r="G105" s="767"/>
      <c r="H105" s="767"/>
      <c r="I105" s="767"/>
      <c r="J105" s="767"/>
      <c r="K105" s="767"/>
      <c r="L105" s="768"/>
      <c r="M105" s="10"/>
      <c r="O105" s="10" t="str">
        <f>"Account 3 - "&amp;Pro!C121</f>
        <v xml:space="preserve">Account 3 - </v>
      </c>
      <c r="P105" s="10" t="str">
        <f>"Client 3 - "&amp;Pro!C121</f>
        <v xml:space="preserve">Client 3 - </v>
      </c>
    </row>
    <row r="106" spans="2:16" x14ac:dyDescent="0.3">
      <c r="B106" s="735" t="str">
        <f>IF(Intro!$G$20="English",Variables!$B$23,Variables!$C$23)</f>
        <v>tonnes</v>
      </c>
      <c r="C106" s="736"/>
      <c r="D106" s="736"/>
      <c r="E106" s="141"/>
      <c r="F106" s="141"/>
      <c r="G106" s="141"/>
      <c r="H106" s="141"/>
      <c r="I106" s="141"/>
      <c r="J106" s="141"/>
      <c r="K106" s="141"/>
      <c r="L106" s="142"/>
      <c r="M106" s="10"/>
    </row>
    <row r="107" spans="2:16" x14ac:dyDescent="0.3">
      <c r="B107" s="735" t="str">
        <f>IF(Intro!G$20="English","net delivered selling value (CAD)","valeur de vente nette rendue (CAD)")</f>
        <v>net delivered selling value (CAD)</v>
      </c>
      <c r="C107" s="736"/>
      <c r="D107" s="736"/>
      <c r="E107" s="141"/>
      <c r="F107" s="141"/>
      <c r="G107" s="141"/>
      <c r="H107" s="141"/>
      <c r="I107" s="141"/>
      <c r="J107" s="141"/>
      <c r="K107" s="141"/>
      <c r="L107" s="142"/>
      <c r="M107" s="10"/>
    </row>
    <row r="108" spans="2:16" x14ac:dyDescent="0.3">
      <c r="B108" s="735" t="str">
        <f>"$ / "&amp;IF(Intro!$G$20="English",Variables!$B$24,Variables!$C$24)</f>
        <v>$ / tonne</v>
      </c>
      <c r="C108" s="736"/>
      <c r="D108" s="736"/>
      <c r="E108" s="289" t="str">
        <f t="shared" ref="E108:L108" si="21">IF(E106=0,"-",E107/E106)</f>
        <v>-</v>
      </c>
      <c r="F108" s="289" t="str">
        <f t="shared" si="21"/>
        <v>-</v>
      </c>
      <c r="G108" s="289" t="str">
        <f t="shared" si="21"/>
        <v>-</v>
      </c>
      <c r="H108" s="289" t="str">
        <f t="shared" si="21"/>
        <v>-</v>
      </c>
      <c r="I108" s="289" t="str">
        <f t="shared" si="21"/>
        <v>-</v>
      </c>
      <c r="J108" s="289" t="str">
        <f t="shared" si="21"/>
        <v>-</v>
      </c>
      <c r="K108" s="289" t="str">
        <f t="shared" si="21"/>
        <v>-</v>
      </c>
      <c r="L108" s="290" t="str">
        <f t="shared" si="21"/>
        <v>-</v>
      </c>
      <c r="M108" s="10"/>
    </row>
    <row r="109" spans="2:16" x14ac:dyDescent="0.3">
      <c r="B109" s="766" t="str">
        <f>IF(Intro!$G$20="English",O109,P109)</f>
        <v xml:space="preserve">Account 4 - </v>
      </c>
      <c r="C109" s="767"/>
      <c r="D109" s="767"/>
      <c r="E109" s="767"/>
      <c r="F109" s="767"/>
      <c r="G109" s="767"/>
      <c r="H109" s="767"/>
      <c r="I109" s="767"/>
      <c r="J109" s="767"/>
      <c r="K109" s="767"/>
      <c r="L109" s="768"/>
      <c r="M109" s="10"/>
      <c r="O109" s="10" t="str">
        <f>"Account 4 - "&amp;Pro!C122</f>
        <v xml:space="preserve">Account 4 - </v>
      </c>
      <c r="P109" s="10" t="str">
        <f>"Client 4 - "&amp;Pro!C122</f>
        <v xml:space="preserve">Client 4 - </v>
      </c>
    </row>
    <row r="110" spans="2:16" x14ac:dyDescent="0.3">
      <c r="B110" s="735" t="str">
        <f>IF(Intro!$G$20="English",Variables!$B$23,Variables!$C$23)</f>
        <v>tonnes</v>
      </c>
      <c r="C110" s="736"/>
      <c r="D110" s="736"/>
      <c r="E110" s="141"/>
      <c r="F110" s="141"/>
      <c r="G110" s="141"/>
      <c r="H110" s="141"/>
      <c r="I110" s="141"/>
      <c r="J110" s="141"/>
      <c r="K110" s="141"/>
      <c r="L110" s="142"/>
      <c r="M110" s="10"/>
    </row>
    <row r="111" spans="2:16" x14ac:dyDescent="0.3">
      <c r="B111" s="735" t="str">
        <f>IF(Intro!G$20="English","net delivered selling value (CAD)","valeur de vente nette rendue (CAD)")</f>
        <v>net delivered selling value (CAD)</v>
      </c>
      <c r="C111" s="736"/>
      <c r="D111" s="736"/>
      <c r="E111" s="141"/>
      <c r="F111" s="141"/>
      <c r="G111" s="141"/>
      <c r="H111" s="141"/>
      <c r="I111" s="141"/>
      <c r="J111" s="141"/>
      <c r="K111" s="141"/>
      <c r="L111" s="142"/>
      <c r="M111" s="10"/>
    </row>
    <row r="112" spans="2:16" x14ac:dyDescent="0.3">
      <c r="B112" s="735" t="str">
        <f>"$ / "&amp;IF(Intro!$G$20="English",Variables!$B$24,Variables!$C$24)</f>
        <v>$ / tonne</v>
      </c>
      <c r="C112" s="736"/>
      <c r="D112" s="736"/>
      <c r="E112" s="289" t="str">
        <f t="shared" ref="E112:L112" si="22">IF(E110=0,"-",E111/E110)</f>
        <v>-</v>
      </c>
      <c r="F112" s="289" t="str">
        <f t="shared" si="22"/>
        <v>-</v>
      </c>
      <c r="G112" s="289" t="str">
        <f t="shared" si="22"/>
        <v>-</v>
      </c>
      <c r="H112" s="289" t="str">
        <f t="shared" si="22"/>
        <v>-</v>
      </c>
      <c r="I112" s="289" t="str">
        <f t="shared" si="22"/>
        <v>-</v>
      </c>
      <c r="J112" s="289" t="str">
        <f t="shared" si="22"/>
        <v>-</v>
      </c>
      <c r="K112" s="289" t="str">
        <f t="shared" si="22"/>
        <v>-</v>
      </c>
      <c r="L112" s="290" t="str">
        <f t="shared" si="22"/>
        <v>-</v>
      </c>
      <c r="M112" s="10"/>
    </row>
    <row r="113" spans="2:19" x14ac:dyDescent="0.3">
      <c r="B113" s="766" t="str">
        <f>IF(Intro!$G$20="English",O113,P113)</f>
        <v xml:space="preserve">Account 5 - </v>
      </c>
      <c r="C113" s="767"/>
      <c r="D113" s="767"/>
      <c r="E113" s="767"/>
      <c r="F113" s="767"/>
      <c r="G113" s="767"/>
      <c r="H113" s="767"/>
      <c r="I113" s="767"/>
      <c r="J113" s="767"/>
      <c r="K113" s="767"/>
      <c r="L113" s="768"/>
      <c r="M113" s="10"/>
      <c r="O113" s="10" t="str">
        <f>"Account 5 - "&amp;Pro!C123</f>
        <v xml:space="preserve">Account 5 - </v>
      </c>
      <c r="P113" s="10" t="str">
        <f>"Client 5 - "&amp;Pro!C123</f>
        <v xml:space="preserve">Client 5 - </v>
      </c>
    </row>
    <row r="114" spans="2:19" x14ac:dyDescent="0.3">
      <c r="B114" s="735" t="str">
        <f>IF(Intro!$G$20="English",Variables!$B$23,Variables!$C$23)</f>
        <v>tonnes</v>
      </c>
      <c r="C114" s="736"/>
      <c r="D114" s="736"/>
      <c r="E114" s="141"/>
      <c r="F114" s="141"/>
      <c r="G114" s="141"/>
      <c r="H114" s="141"/>
      <c r="I114" s="141"/>
      <c r="J114" s="141"/>
      <c r="K114" s="141"/>
      <c r="L114" s="142"/>
      <c r="M114" s="10"/>
    </row>
    <row r="115" spans="2:19" x14ac:dyDescent="0.3">
      <c r="B115" s="735" t="str">
        <f>IF(Intro!G$20="English","net delivered selling value (CAD)","valeur de vente nette rendue (CAD)")</f>
        <v>net delivered selling value (CAD)</v>
      </c>
      <c r="C115" s="736"/>
      <c r="D115" s="736"/>
      <c r="E115" s="141"/>
      <c r="F115" s="141"/>
      <c r="G115" s="141"/>
      <c r="H115" s="141"/>
      <c r="I115" s="141"/>
      <c r="J115" s="141"/>
      <c r="K115" s="141"/>
      <c r="L115" s="142"/>
      <c r="M115" s="10"/>
    </row>
    <row r="116" spans="2:19" x14ac:dyDescent="0.3">
      <c r="B116" s="735" t="str">
        <f>"$ / "&amp;IF(Intro!$G$20="English",Variables!$B$24,Variables!$C$24)</f>
        <v>$ / tonne</v>
      </c>
      <c r="C116" s="736"/>
      <c r="D116" s="736"/>
      <c r="E116" s="289" t="str">
        <f t="shared" ref="E116:L116" si="23">IF(E114=0,"-",E115/E114)</f>
        <v>-</v>
      </c>
      <c r="F116" s="289" t="str">
        <f t="shared" si="23"/>
        <v>-</v>
      </c>
      <c r="G116" s="289" t="str">
        <f t="shared" si="23"/>
        <v>-</v>
      </c>
      <c r="H116" s="289" t="str">
        <f t="shared" si="23"/>
        <v>-</v>
      </c>
      <c r="I116" s="289" t="str">
        <f t="shared" si="23"/>
        <v>-</v>
      </c>
      <c r="J116" s="289" t="str">
        <f t="shared" si="23"/>
        <v>-</v>
      </c>
      <c r="K116" s="289" t="str">
        <f t="shared" si="23"/>
        <v>-</v>
      </c>
      <c r="L116" s="290" t="str">
        <f t="shared" si="23"/>
        <v>-</v>
      </c>
      <c r="M116" s="10"/>
    </row>
    <row r="117" spans="2:19" x14ac:dyDescent="0.3">
      <c r="B117" s="766" t="str">
        <f>IF(Intro!$G$20="English",O117,P117)</f>
        <v xml:space="preserve">Account 5 - </v>
      </c>
      <c r="C117" s="767"/>
      <c r="D117" s="767"/>
      <c r="E117" s="767"/>
      <c r="F117" s="767"/>
      <c r="G117" s="767"/>
      <c r="H117" s="767"/>
      <c r="I117" s="767"/>
      <c r="J117" s="767"/>
      <c r="K117" s="767"/>
      <c r="L117" s="768"/>
      <c r="M117" s="10"/>
      <c r="O117" s="10" t="str">
        <f>"Account 5 - "&amp;Pro!C128</f>
        <v xml:space="preserve">Account 5 - </v>
      </c>
      <c r="P117" s="10" t="str">
        <f>"Client 5 - "&amp;Pro!C128</f>
        <v xml:space="preserve">Client 5 - </v>
      </c>
    </row>
    <row r="118" spans="2:19" x14ac:dyDescent="0.3">
      <c r="B118" s="735" t="str">
        <f>IF(Intro!$G$20="English",Variables!$B$23,Variables!$C$23)</f>
        <v>tonnes</v>
      </c>
      <c r="C118" s="736"/>
      <c r="D118" s="736"/>
      <c r="E118" s="141"/>
      <c r="F118" s="141"/>
      <c r="G118" s="141"/>
      <c r="H118" s="141"/>
      <c r="I118" s="141"/>
      <c r="J118" s="141"/>
      <c r="K118" s="141"/>
      <c r="L118" s="142"/>
      <c r="M118" s="10"/>
      <c r="O118" s="10" t="str">
        <f>"Account 6 - "&amp;Pro!C128</f>
        <v xml:space="preserve">Account 6 - </v>
      </c>
      <c r="P118" s="10" t="str">
        <f>"Client 6 - "&amp;Pro!C128</f>
        <v xml:space="preserve">Client 6 - </v>
      </c>
    </row>
    <row r="119" spans="2:19" x14ac:dyDescent="0.3">
      <c r="B119" s="735" t="str">
        <f>IF(Intro!G$20="English","net delivered selling value (CAD)","valeur de vente nette rendue (CAD)")</f>
        <v>net delivered selling value (CAD)</v>
      </c>
      <c r="C119" s="736"/>
      <c r="D119" s="736"/>
      <c r="E119" s="141"/>
      <c r="F119" s="141"/>
      <c r="G119" s="141"/>
      <c r="H119" s="141"/>
      <c r="I119" s="141"/>
      <c r="J119" s="141"/>
      <c r="K119" s="141"/>
      <c r="L119" s="142"/>
      <c r="M119" s="10"/>
    </row>
    <row r="120" spans="2:19" x14ac:dyDescent="0.3">
      <c r="B120" s="735" t="str">
        <f>"$ / "&amp;IF(Intro!$G$20="English",Variables!$B$24,Variables!$C$24)</f>
        <v>$ / tonne</v>
      </c>
      <c r="C120" s="736"/>
      <c r="D120" s="736"/>
      <c r="E120" s="289" t="str">
        <f t="shared" ref="E120:L120" si="24">IF(E118=0,"-",E119/E118)</f>
        <v>-</v>
      </c>
      <c r="F120" s="289" t="str">
        <f t="shared" si="24"/>
        <v>-</v>
      </c>
      <c r="G120" s="289" t="str">
        <f t="shared" si="24"/>
        <v>-</v>
      </c>
      <c r="H120" s="289" t="str">
        <f t="shared" si="24"/>
        <v>-</v>
      </c>
      <c r="I120" s="289" t="str">
        <f t="shared" si="24"/>
        <v>-</v>
      </c>
      <c r="J120" s="289" t="str">
        <f t="shared" si="24"/>
        <v>-</v>
      </c>
      <c r="K120" s="289" t="str">
        <f t="shared" si="24"/>
        <v>-</v>
      </c>
      <c r="L120" s="290" t="str">
        <f t="shared" si="24"/>
        <v>-</v>
      </c>
      <c r="M120" s="10"/>
    </row>
    <row r="121" spans="2:19" x14ac:dyDescent="0.3">
      <c r="B121" s="115"/>
      <c r="C121" s="116"/>
      <c r="D121" s="116"/>
      <c r="E121" s="29"/>
      <c r="F121" s="29"/>
      <c r="G121" s="29"/>
      <c r="H121" s="29"/>
      <c r="I121" s="29"/>
      <c r="J121" s="29"/>
      <c r="K121" s="29"/>
      <c r="L121" s="30"/>
      <c r="M121" s="10"/>
    </row>
    <row r="122" spans="2:19" x14ac:dyDescent="0.3">
      <c r="B122" s="500" t="str">
        <f>IF(Intro!$G$20="English",O122,P122)</f>
        <v>In the table below, “Error” means that the total sales to your firm’s top five accounts for that period exceed your firm’s total import sales for that period. Therefore, please modify the above data if necessary.</v>
      </c>
      <c r="C122" s="501"/>
      <c r="D122" s="501"/>
      <c r="E122" s="501"/>
      <c r="F122" s="501"/>
      <c r="G122" s="501"/>
      <c r="H122" s="501"/>
      <c r="I122" s="501"/>
      <c r="J122" s="501"/>
      <c r="K122" s="501"/>
      <c r="L122" s="502"/>
      <c r="M122" s="10"/>
      <c r="O122" s="38" t="s">
        <v>364</v>
      </c>
      <c r="P122" s="38" t="s">
        <v>365</v>
      </c>
      <c r="Q122" s="38"/>
      <c r="R122" s="38"/>
      <c r="S122" s="38"/>
    </row>
    <row r="123" spans="2:19" x14ac:dyDescent="0.3">
      <c r="B123" s="500"/>
      <c r="C123" s="501"/>
      <c r="D123" s="501"/>
      <c r="E123" s="501"/>
      <c r="F123" s="501"/>
      <c r="G123" s="501"/>
      <c r="H123" s="501"/>
      <c r="I123" s="501"/>
      <c r="J123" s="501"/>
      <c r="K123" s="501"/>
      <c r="L123" s="502"/>
      <c r="M123" s="10"/>
      <c r="O123" s="38"/>
      <c r="P123" s="38"/>
      <c r="Q123" s="38"/>
      <c r="R123" s="38"/>
      <c r="S123" s="38"/>
    </row>
    <row r="124" spans="2:19" x14ac:dyDescent="0.3">
      <c r="B124" s="79"/>
      <c r="C124" s="80"/>
      <c r="D124" s="80"/>
      <c r="E124" s="29"/>
      <c r="F124" s="29"/>
      <c r="G124" s="29"/>
      <c r="H124" s="29"/>
      <c r="I124" s="29"/>
      <c r="J124" s="29"/>
      <c r="K124" s="29"/>
      <c r="L124" s="30"/>
      <c r="M124" s="10"/>
      <c r="O124" s="38"/>
      <c r="P124" s="38"/>
      <c r="Q124" s="38"/>
      <c r="R124" s="38"/>
      <c r="S124" s="38"/>
    </row>
    <row r="125" spans="2:19" ht="14.1" customHeight="1" x14ac:dyDescent="0.3">
      <c r="B125" s="756" t="str">
        <f>Variables!D62</f>
        <v>Verification - volume</v>
      </c>
      <c r="C125" s="617"/>
      <c r="D125" s="617"/>
      <c r="E125" s="617"/>
      <c r="F125" s="618"/>
      <c r="G125" s="221">
        <f>H125-1</f>
        <v>2024</v>
      </c>
      <c r="H125" s="221">
        <f>Variables!B8-1</f>
        <v>2025</v>
      </c>
      <c r="I125" s="221" t="str">
        <f>L96</f>
        <v>Q1 - 2026</v>
      </c>
      <c r="J125" s="291"/>
      <c r="K125" s="291"/>
      <c r="L125" s="292"/>
      <c r="M125" s="10"/>
      <c r="O125" s="10" t="s">
        <v>386</v>
      </c>
      <c r="P125" s="10" t="s">
        <v>387</v>
      </c>
    </row>
    <row r="126" spans="2:19" ht="14.1" customHeight="1" x14ac:dyDescent="0.3">
      <c r="B126" s="760" t="str">
        <f>D31</f>
        <v>tonnes</v>
      </c>
      <c r="C126" s="761"/>
      <c r="D126" s="761"/>
      <c r="E126" s="761"/>
      <c r="F126" s="762"/>
      <c r="G126" s="232" t="str">
        <f>IF(SUM(E98:G98,E102:G102,E106:G106,E110:G110,E114:G114)&gt;SUM(H37,H53,H69),Variables!$D$63,Variables!$D$64)</f>
        <v>Okay</v>
      </c>
      <c r="H126" s="232" t="str">
        <f>IF(SUM(H98:K98,H102:K102,H106:K106,H110:K110,H114:K114)&gt;SUM(I37,I53,I69),Variables!$D$63,Variables!$D$64)</f>
        <v>Okay</v>
      </c>
      <c r="I126" s="232" t="str">
        <f>IF(SUM(L98,L102,L106,L110,L114)&gt;SUM(K37,K53,K69),Variables!$D$63,Variables!$D$64)</f>
        <v>Okay</v>
      </c>
      <c r="J126" s="291"/>
      <c r="K126" s="291"/>
      <c r="L126" s="292"/>
      <c r="M126" s="10"/>
    </row>
    <row r="127" spans="2:19" ht="14.1" customHeight="1" x14ac:dyDescent="0.3">
      <c r="B127" s="757" t="str">
        <f>IF(Intro!$G$20="English",O127,P127)</f>
        <v>volume - total sales in Canada of imports to the top five accounts (Question 2)</v>
      </c>
      <c r="C127" s="758"/>
      <c r="D127" s="758"/>
      <c r="E127" s="758"/>
      <c r="F127" s="759"/>
      <c r="G127" s="232">
        <f>SUM(E98:G98,E102:G102,E106:G106,E110:G110,E114:G114)</f>
        <v>0</v>
      </c>
      <c r="H127" s="232">
        <f>SUM(H98:K98,H102:K102,H106:K106,H110:K110,H114:K114)</f>
        <v>0</v>
      </c>
      <c r="I127" s="232">
        <f>SUM(L98,L102,L106,L110,L114)</f>
        <v>0</v>
      </c>
      <c r="J127" s="291"/>
      <c r="K127" s="291"/>
      <c r="L127" s="292"/>
      <c r="M127" s="10"/>
      <c r="O127" s="73" t="s">
        <v>498</v>
      </c>
      <c r="P127" s="10" t="s">
        <v>500</v>
      </c>
    </row>
    <row r="128" spans="2:19" ht="14.1" customHeight="1" x14ac:dyDescent="0.3">
      <c r="B128" s="757" t="str">
        <f>IF(Intro!$G$20="English",O128,P128)</f>
        <v>volume - total sales in Canada of imports (Question 1)</v>
      </c>
      <c r="C128" s="758"/>
      <c r="D128" s="758"/>
      <c r="E128" s="758"/>
      <c r="F128" s="759"/>
      <c r="G128" s="232">
        <f>H37</f>
        <v>0</v>
      </c>
      <c r="H128" s="232">
        <f>I37</f>
        <v>0</v>
      </c>
      <c r="I128" s="232">
        <f>K37</f>
        <v>0</v>
      </c>
      <c r="J128" s="291"/>
      <c r="K128" s="291"/>
      <c r="L128" s="292"/>
      <c r="M128" s="10"/>
      <c r="O128" s="10" t="s">
        <v>499</v>
      </c>
      <c r="P128" s="10" t="s">
        <v>501</v>
      </c>
    </row>
    <row r="129" spans="1:16" ht="14.1" customHeight="1" x14ac:dyDescent="0.3">
      <c r="B129" s="763" t="str">
        <f>Variables!D66</f>
        <v>Verification - value</v>
      </c>
      <c r="C129" s="764"/>
      <c r="D129" s="764"/>
      <c r="E129" s="764"/>
      <c r="F129" s="765"/>
      <c r="G129" s="221">
        <f>G125</f>
        <v>2024</v>
      </c>
      <c r="H129" s="221">
        <f>H125</f>
        <v>2025</v>
      </c>
      <c r="I129" s="221" t="str">
        <f>I125</f>
        <v>Q1 - 2026</v>
      </c>
      <c r="J129" s="291"/>
      <c r="K129" s="291"/>
      <c r="L129" s="292"/>
      <c r="M129" s="10"/>
    </row>
    <row r="130" spans="1:16" ht="14.1" customHeight="1" x14ac:dyDescent="0.3">
      <c r="B130" s="788" t="str">
        <f>D32</f>
        <v>net delivered selling value (CAD)</v>
      </c>
      <c r="C130" s="789"/>
      <c r="D130" s="789"/>
      <c r="E130" s="789"/>
      <c r="F130" s="790"/>
      <c r="G130" s="232" t="str">
        <f>IF(SUM(E99:G99,E103:G103,E107:G107,E111:G111,E115:G115)&gt;SUM(H38,H54,H70),Variables!$D$63,Variables!$D$64)</f>
        <v>Okay</v>
      </c>
      <c r="H130" s="232" t="str">
        <f>IF(SUM(H99:K99,H103:K103,H107:K107,H111:K111,H115:K115)&gt;SUM(I38,I54,I70),Variables!$D$63,Variables!$D$64)</f>
        <v>Okay</v>
      </c>
      <c r="I130" s="232" t="str">
        <f>IF(SUM(L99,L103,L107,L111,L115)&gt;SUM(K38,K54,K70),Variables!$D$63,Variables!$D$64)</f>
        <v>Okay</v>
      </c>
      <c r="J130" s="291"/>
      <c r="K130" s="291"/>
      <c r="L130" s="292"/>
      <c r="M130" s="10"/>
    </row>
    <row r="131" spans="1:16" ht="14.1" customHeight="1" x14ac:dyDescent="0.3">
      <c r="B131" s="791" t="str">
        <f>IF(Intro!$G$20="English",O131,P131)</f>
        <v>value - total sales in Canada of imports to the top five accounts (Question 2)</v>
      </c>
      <c r="C131" s="792"/>
      <c r="D131" s="792"/>
      <c r="E131" s="792"/>
      <c r="F131" s="793"/>
      <c r="G131" s="232">
        <f>SUM(E99:G99,E103:G103,E107:G107,E111:G111,E115:G115)</f>
        <v>0</v>
      </c>
      <c r="H131" s="232">
        <f>SUM(H99:K99,H103:K103,H107:K107,H111:K111,H115:K115)</f>
        <v>0</v>
      </c>
      <c r="I131" s="232">
        <f>SUM(L99,L103,L107,L111,L115)</f>
        <v>0</v>
      </c>
      <c r="J131" s="291"/>
      <c r="K131" s="291"/>
      <c r="L131" s="292"/>
      <c r="M131" s="10"/>
      <c r="O131" s="73" t="s">
        <v>504</v>
      </c>
      <c r="P131" s="10" t="s">
        <v>502</v>
      </c>
    </row>
    <row r="132" spans="1:16" ht="14.1" customHeight="1" x14ac:dyDescent="0.3">
      <c r="B132" s="791" t="str">
        <f>IF(Intro!$G$20="English",O132,P132)</f>
        <v>value - total sales in Canada of imports (Question 1)</v>
      </c>
      <c r="C132" s="792"/>
      <c r="D132" s="792"/>
      <c r="E132" s="792"/>
      <c r="F132" s="793"/>
      <c r="G132" s="232">
        <f>H38</f>
        <v>0</v>
      </c>
      <c r="H132" s="232">
        <f>I38</f>
        <v>0</v>
      </c>
      <c r="I132" s="232">
        <f>K38</f>
        <v>0</v>
      </c>
      <c r="J132" s="291"/>
      <c r="K132" s="291"/>
      <c r="L132" s="292"/>
      <c r="M132" s="10"/>
      <c r="O132" s="10" t="s">
        <v>505</v>
      </c>
      <c r="P132" s="10" t="s">
        <v>503</v>
      </c>
    </row>
    <row r="133" spans="1:16" x14ac:dyDescent="0.3">
      <c r="B133" s="72"/>
      <c r="C133" s="84"/>
      <c r="D133" s="84"/>
      <c r="E133" s="84"/>
      <c r="F133" s="84"/>
      <c r="G133" s="84"/>
      <c r="H133" s="84"/>
      <c r="I133" s="84"/>
      <c r="J133" s="84"/>
      <c r="K133" s="84"/>
      <c r="L133" s="85"/>
      <c r="M133" s="10"/>
    </row>
    <row r="134" spans="1:16" s="11" customFormat="1" x14ac:dyDescent="0.3">
      <c r="A134" s="7"/>
      <c r="B134" s="31"/>
      <c r="C134" s="90"/>
      <c r="D134" s="90"/>
      <c r="E134" s="91"/>
      <c r="F134" s="91"/>
      <c r="G134" s="91"/>
      <c r="H134" s="91"/>
      <c r="I134" s="91"/>
      <c r="J134" s="91"/>
      <c r="K134" s="91"/>
      <c r="L134" s="91"/>
      <c r="M134" s="73"/>
    </row>
    <row r="135" spans="1:16" x14ac:dyDescent="0.3">
      <c r="B135" s="506" t="str">
        <f>IF(Intro!$G$20="English",O135,P135)</f>
        <v>IMPORTS OF BENCHMARK PRODUCTS</v>
      </c>
      <c r="C135" s="507"/>
      <c r="D135" s="507"/>
      <c r="E135" s="507"/>
      <c r="F135" s="507"/>
      <c r="G135" s="507"/>
      <c r="H135" s="507"/>
      <c r="I135" s="507"/>
      <c r="J135" s="507"/>
      <c r="K135" s="507"/>
      <c r="L135" s="508"/>
      <c r="M135" s="10"/>
      <c r="O135" s="107" t="s">
        <v>331</v>
      </c>
      <c r="P135" s="107" t="s">
        <v>434</v>
      </c>
    </row>
    <row r="136" spans="1:16" x14ac:dyDescent="0.3">
      <c r="B136" s="647" t="s">
        <v>16</v>
      </c>
      <c r="C136" s="648"/>
      <c r="D136" s="648"/>
      <c r="E136" s="648"/>
      <c r="F136" s="648"/>
      <c r="G136" s="648"/>
      <c r="H136" s="648"/>
      <c r="I136" s="648"/>
      <c r="J136" s="648"/>
      <c r="K136" s="648"/>
      <c r="L136" s="649"/>
      <c r="M136" s="10"/>
    </row>
    <row r="137" spans="1:16" x14ac:dyDescent="0.3">
      <c r="B137" s="16"/>
      <c r="C137" s="35"/>
      <c r="D137" s="35"/>
      <c r="E137" s="36"/>
      <c r="F137" s="36"/>
      <c r="G137" s="36"/>
      <c r="H137" s="36"/>
      <c r="I137" s="36"/>
      <c r="J137" s="36"/>
      <c r="K137" s="36"/>
      <c r="L137" s="17"/>
      <c r="M137" s="10"/>
    </row>
    <row r="138" spans="1:16" x14ac:dyDescent="0.3">
      <c r="B138" s="503" t="str">
        <f>IF(Intro!$G$20="English",O138,P138)</f>
        <v xml:space="preserve">Report the volume and value of imports for each benchmark product listed below : </v>
      </c>
      <c r="C138" s="504"/>
      <c r="D138" s="504"/>
      <c r="E138" s="504"/>
      <c r="F138" s="504"/>
      <c r="G138" s="504"/>
      <c r="H138" s="504"/>
      <c r="I138" s="504"/>
      <c r="J138" s="504"/>
      <c r="K138" s="504"/>
      <c r="L138" s="505"/>
      <c r="M138" s="10"/>
      <c r="O138" s="18" t="s">
        <v>191</v>
      </c>
      <c r="P138" s="10" t="s">
        <v>192</v>
      </c>
    </row>
    <row r="139" spans="1:16" x14ac:dyDescent="0.3">
      <c r="B139" s="79"/>
      <c r="C139" s="35"/>
      <c r="D139" s="35"/>
      <c r="E139" s="36"/>
      <c r="F139" s="36"/>
      <c r="G139" s="36"/>
      <c r="H139" s="36"/>
      <c r="I139" s="36"/>
      <c r="J139" s="36"/>
      <c r="K139" s="36"/>
      <c r="L139" s="17"/>
      <c r="M139" s="10"/>
      <c r="O139" s="18"/>
    </row>
    <row r="140" spans="1:16" x14ac:dyDescent="0.3">
      <c r="B140" s="779"/>
      <c r="C140" s="780"/>
      <c r="D140" s="781"/>
      <c r="E140" s="129" t="str">
        <f t="shared" ref="E140:L140" si="25">E96</f>
        <v>Q2 - 2024</v>
      </c>
      <c r="F140" s="129" t="str">
        <f t="shared" si="25"/>
        <v>Q3 - 2024</v>
      </c>
      <c r="G140" s="129" t="str">
        <f t="shared" si="25"/>
        <v>Q4 - 2024</v>
      </c>
      <c r="H140" s="129" t="str">
        <f t="shared" si="25"/>
        <v>Q1 - 2025</v>
      </c>
      <c r="I140" s="129" t="str">
        <f t="shared" si="25"/>
        <v>Q2 - 2025</v>
      </c>
      <c r="J140" s="129" t="str">
        <f t="shared" si="25"/>
        <v>Q3 - 2025</v>
      </c>
      <c r="K140" s="129" t="str">
        <f t="shared" si="25"/>
        <v>Q4 - 2025</v>
      </c>
      <c r="L140" s="140" t="str">
        <f t="shared" si="25"/>
        <v>Q1 - 2026</v>
      </c>
      <c r="M140" s="10"/>
      <c r="O140" s="18"/>
    </row>
    <row r="141" spans="1:16" x14ac:dyDescent="0.3">
      <c r="B141" s="772" t="str">
        <f>IF(Intro!$G$20="English",Variables!B30,Variables!C30)</f>
        <v>SAG Balls - 5.0" (125mm) within a 5% tolerance</v>
      </c>
      <c r="C141" s="614"/>
      <c r="D141" s="614"/>
      <c r="E141" s="614"/>
      <c r="F141" s="614"/>
      <c r="G141" s="614"/>
      <c r="H141" s="614"/>
      <c r="I141" s="614"/>
      <c r="J141" s="614"/>
      <c r="K141" s="614"/>
      <c r="L141" s="773"/>
      <c r="M141" s="10"/>
    </row>
    <row r="142" spans="1:16" x14ac:dyDescent="0.3">
      <c r="B142" s="774"/>
      <c r="C142" s="620"/>
      <c r="D142" s="620"/>
      <c r="E142" s="620"/>
      <c r="F142" s="620"/>
      <c r="G142" s="620"/>
      <c r="H142" s="620"/>
      <c r="I142" s="620"/>
      <c r="J142" s="620"/>
      <c r="K142" s="620"/>
      <c r="L142" s="775"/>
      <c r="M142" s="10"/>
    </row>
    <row r="143" spans="1:16" x14ac:dyDescent="0.3">
      <c r="B143" s="735" t="str">
        <f>IF(Intro!$G$20="English",Variables!$B$23,Variables!$C$23)</f>
        <v>tonnes</v>
      </c>
      <c r="C143" s="736"/>
      <c r="D143" s="736"/>
      <c r="E143" s="141"/>
      <c r="F143" s="141"/>
      <c r="G143" s="141"/>
      <c r="H143" s="141"/>
      <c r="I143" s="141"/>
      <c r="J143" s="141"/>
      <c r="K143" s="141"/>
      <c r="L143" s="142"/>
      <c r="M143" s="10"/>
    </row>
    <row r="144" spans="1:16" x14ac:dyDescent="0.3">
      <c r="B144" s="735" t="str">
        <f>IF(Intro!G$20="English","net delivered purchase value (CAD)","valeur d'achat nette rendue (CAD)")</f>
        <v>net delivered purchase value (CAD)</v>
      </c>
      <c r="C144" s="736"/>
      <c r="D144" s="736"/>
      <c r="E144" s="141"/>
      <c r="F144" s="141"/>
      <c r="G144" s="141"/>
      <c r="H144" s="141"/>
      <c r="I144" s="141"/>
      <c r="J144" s="141"/>
      <c r="K144" s="141"/>
      <c r="L144" s="142"/>
      <c r="M144" s="10"/>
    </row>
    <row r="145" spans="2:13" x14ac:dyDescent="0.3">
      <c r="B145" s="735" t="str">
        <f>"$ / "&amp;IF(Intro!$G$20="English",Variables!$B$24,Variables!$C$24)</f>
        <v>$ / tonne</v>
      </c>
      <c r="C145" s="736"/>
      <c r="D145" s="736"/>
      <c r="E145" s="289" t="str">
        <f t="shared" ref="E145:L145" si="26">IF(E143=0,"-",E144/E143)</f>
        <v>-</v>
      </c>
      <c r="F145" s="289" t="str">
        <f t="shared" si="26"/>
        <v>-</v>
      </c>
      <c r="G145" s="289" t="str">
        <f t="shared" si="26"/>
        <v>-</v>
      </c>
      <c r="H145" s="289" t="str">
        <f t="shared" si="26"/>
        <v>-</v>
      </c>
      <c r="I145" s="289" t="str">
        <f t="shared" si="26"/>
        <v>-</v>
      </c>
      <c r="J145" s="289" t="str">
        <f t="shared" si="26"/>
        <v>-</v>
      </c>
      <c r="K145" s="289" t="str">
        <f t="shared" si="26"/>
        <v>-</v>
      </c>
      <c r="L145" s="289" t="str">
        <f t="shared" si="26"/>
        <v>-</v>
      </c>
      <c r="M145" s="10"/>
    </row>
    <row r="146" spans="2:13" x14ac:dyDescent="0.3">
      <c r="B146" s="772" t="str">
        <f>IF(Intro!$G$20="English",Variables!B31,Variables!C31)</f>
        <v>SAG Balls - 5.25" (133mm) within a 5% tolerance</v>
      </c>
      <c r="C146" s="614"/>
      <c r="D146" s="614"/>
      <c r="E146" s="614"/>
      <c r="F146" s="614"/>
      <c r="G146" s="614"/>
      <c r="H146" s="614"/>
      <c r="I146" s="614"/>
      <c r="J146" s="614"/>
      <c r="K146" s="614"/>
      <c r="L146" s="773"/>
      <c r="M146" s="10"/>
    </row>
    <row r="147" spans="2:13" x14ac:dyDescent="0.3">
      <c r="B147" s="774"/>
      <c r="C147" s="620"/>
      <c r="D147" s="620"/>
      <c r="E147" s="620"/>
      <c r="F147" s="620"/>
      <c r="G147" s="620"/>
      <c r="H147" s="620"/>
      <c r="I147" s="620"/>
      <c r="J147" s="620"/>
      <c r="K147" s="620"/>
      <c r="L147" s="775"/>
      <c r="M147" s="10"/>
    </row>
    <row r="148" spans="2:13" x14ac:dyDescent="0.3">
      <c r="B148" s="735" t="str">
        <f>IF(Intro!$G$20="English",Variables!$B$23,Variables!$C$23)</f>
        <v>tonnes</v>
      </c>
      <c r="C148" s="736"/>
      <c r="D148" s="736"/>
      <c r="E148" s="141"/>
      <c r="F148" s="141"/>
      <c r="G148" s="141"/>
      <c r="H148" s="141"/>
      <c r="I148" s="141"/>
      <c r="J148" s="141"/>
      <c r="K148" s="141"/>
      <c r="L148" s="142"/>
      <c r="M148" s="10"/>
    </row>
    <row r="149" spans="2:13" x14ac:dyDescent="0.3">
      <c r="B149" s="735" t="str">
        <f>IF(Intro!G$20="English","net delivered purchase value (CAD)","valeur d'achat nette rendue (CAD)")</f>
        <v>net delivered purchase value (CAD)</v>
      </c>
      <c r="C149" s="736"/>
      <c r="D149" s="736"/>
      <c r="E149" s="141"/>
      <c r="F149" s="141"/>
      <c r="G149" s="141"/>
      <c r="H149" s="141"/>
      <c r="I149" s="141"/>
      <c r="J149" s="141"/>
      <c r="K149" s="141"/>
      <c r="L149" s="142"/>
      <c r="M149" s="10"/>
    </row>
    <row r="150" spans="2:13" x14ac:dyDescent="0.3">
      <c r="B150" s="735" t="str">
        <f>"$ / "&amp;IF(Intro!$G$20="English",Variables!$B$24,Variables!$C$24)</f>
        <v>$ / tonne</v>
      </c>
      <c r="C150" s="736"/>
      <c r="D150" s="736"/>
      <c r="E150" s="289" t="str">
        <f t="shared" ref="E150:L150" si="27">IF(E148=0,"-",E149/E148)</f>
        <v>-</v>
      </c>
      <c r="F150" s="289" t="str">
        <f t="shared" si="27"/>
        <v>-</v>
      </c>
      <c r="G150" s="289" t="str">
        <f t="shared" si="27"/>
        <v>-</v>
      </c>
      <c r="H150" s="289" t="str">
        <f t="shared" si="27"/>
        <v>-</v>
      </c>
      <c r="I150" s="289" t="str">
        <f t="shared" si="27"/>
        <v>-</v>
      </c>
      <c r="J150" s="289" t="str">
        <f t="shared" si="27"/>
        <v>-</v>
      </c>
      <c r="K150" s="289" t="str">
        <f t="shared" si="27"/>
        <v>-</v>
      </c>
      <c r="L150" s="289" t="str">
        <f t="shared" si="27"/>
        <v>-</v>
      </c>
      <c r="M150" s="10"/>
    </row>
    <row r="151" spans="2:13" x14ac:dyDescent="0.3">
      <c r="B151" s="772" t="str">
        <f>IF(Intro!$G$20="English",Variables!B32,Variables!C32)</f>
        <v>Mid-size Balls - 2.5" (65mm) within a 5% tolerance</v>
      </c>
      <c r="C151" s="614"/>
      <c r="D151" s="614"/>
      <c r="E151" s="614"/>
      <c r="F151" s="614"/>
      <c r="G151" s="614"/>
      <c r="H151" s="614"/>
      <c r="I151" s="614"/>
      <c r="J151" s="614"/>
      <c r="K151" s="614"/>
      <c r="L151" s="773"/>
      <c r="M151" s="10"/>
    </row>
    <row r="152" spans="2:13" x14ac:dyDescent="0.3">
      <c r="B152" s="774"/>
      <c r="C152" s="620"/>
      <c r="D152" s="620"/>
      <c r="E152" s="620"/>
      <c r="F152" s="620"/>
      <c r="G152" s="620"/>
      <c r="H152" s="620"/>
      <c r="I152" s="620"/>
      <c r="J152" s="620"/>
      <c r="K152" s="620"/>
      <c r="L152" s="775"/>
      <c r="M152" s="10"/>
    </row>
    <row r="153" spans="2:13" x14ac:dyDescent="0.3">
      <c r="B153" s="735" t="str">
        <f>IF(Intro!$G$20="English",Variables!$B$23,Variables!$C$23)</f>
        <v>tonnes</v>
      </c>
      <c r="C153" s="736"/>
      <c r="D153" s="736"/>
      <c r="E153" s="141"/>
      <c r="F153" s="141"/>
      <c r="G153" s="141"/>
      <c r="H153" s="141"/>
      <c r="I153" s="141"/>
      <c r="J153" s="141"/>
      <c r="K153" s="141"/>
      <c r="L153" s="142"/>
      <c r="M153" s="10"/>
    </row>
    <row r="154" spans="2:13" x14ac:dyDescent="0.3">
      <c r="B154" s="735" t="str">
        <f>IF(Intro!G$20="English","net delivered purchase value (CAD)","valeur d'achat nette rendue (CAD)")</f>
        <v>net delivered purchase value (CAD)</v>
      </c>
      <c r="C154" s="736"/>
      <c r="D154" s="736"/>
      <c r="E154" s="141"/>
      <c r="F154" s="141"/>
      <c r="G154" s="141"/>
      <c r="H154" s="141"/>
      <c r="I154" s="141"/>
      <c r="J154" s="141"/>
      <c r="K154" s="141"/>
      <c r="L154" s="142"/>
      <c r="M154" s="10"/>
    </row>
    <row r="155" spans="2:13" x14ac:dyDescent="0.3">
      <c r="B155" s="735" t="str">
        <f>"$ / "&amp;IF(Intro!$G$20="English",Variables!$B$24,Variables!$C$24)</f>
        <v>$ / tonne</v>
      </c>
      <c r="C155" s="736"/>
      <c r="D155" s="736"/>
      <c r="E155" s="289" t="str">
        <f t="shared" ref="E155:L155" si="28">IF(E153=0,"-",E154/E153)</f>
        <v>-</v>
      </c>
      <c r="F155" s="289" t="str">
        <f t="shared" si="28"/>
        <v>-</v>
      </c>
      <c r="G155" s="289" t="str">
        <f t="shared" si="28"/>
        <v>-</v>
      </c>
      <c r="H155" s="289" t="str">
        <f t="shared" si="28"/>
        <v>-</v>
      </c>
      <c r="I155" s="289" t="str">
        <f t="shared" si="28"/>
        <v>-</v>
      </c>
      <c r="J155" s="289" t="str">
        <f t="shared" si="28"/>
        <v>-</v>
      </c>
      <c r="K155" s="289" t="str">
        <f t="shared" si="28"/>
        <v>-</v>
      </c>
      <c r="L155" s="289" t="str">
        <f t="shared" si="28"/>
        <v>-</v>
      </c>
      <c r="M155" s="10"/>
    </row>
    <row r="156" spans="2:13" x14ac:dyDescent="0.3">
      <c r="B156" s="772" t="str">
        <f>IF(Intro!$G$20="English",Variables!B33,Variables!C33)</f>
        <v>Mid-size Balls - 3.5" (94mm) within a 5% tolerance</v>
      </c>
      <c r="C156" s="614"/>
      <c r="D156" s="614"/>
      <c r="E156" s="614"/>
      <c r="F156" s="614"/>
      <c r="G156" s="614"/>
      <c r="H156" s="614"/>
      <c r="I156" s="614"/>
      <c r="J156" s="614"/>
      <c r="K156" s="614"/>
      <c r="L156" s="773"/>
      <c r="M156" s="10"/>
    </row>
    <row r="157" spans="2:13" x14ac:dyDescent="0.3">
      <c r="B157" s="774"/>
      <c r="C157" s="620"/>
      <c r="D157" s="620"/>
      <c r="E157" s="620"/>
      <c r="F157" s="620"/>
      <c r="G157" s="620"/>
      <c r="H157" s="620"/>
      <c r="I157" s="620"/>
      <c r="J157" s="620"/>
      <c r="K157" s="620"/>
      <c r="L157" s="775"/>
      <c r="M157" s="10"/>
    </row>
    <row r="158" spans="2:13" x14ac:dyDescent="0.3">
      <c r="B158" s="735" t="str">
        <f>IF(Intro!$G$20="English",Variables!$B$23,Variables!$C$23)</f>
        <v>tonnes</v>
      </c>
      <c r="C158" s="736"/>
      <c r="D158" s="736"/>
      <c r="E158" s="141"/>
      <c r="F158" s="141"/>
      <c r="G158" s="141"/>
      <c r="H158" s="141"/>
      <c r="I158" s="141"/>
      <c r="J158" s="141"/>
      <c r="K158" s="141"/>
      <c r="L158" s="142"/>
      <c r="M158" s="10"/>
    </row>
    <row r="159" spans="2:13" x14ac:dyDescent="0.3">
      <c r="B159" s="735" t="str">
        <f>IF(Intro!G$20="English","net delivered purchase value (CAD)","valeur d'achat nette rendue (CAD)")</f>
        <v>net delivered purchase value (CAD)</v>
      </c>
      <c r="C159" s="736"/>
      <c r="D159" s="736"/>
      <c r="E159" s="141"/>
      <c r="F159" s="141"/>
      <c r="G159" s="141"/>
      <c r="H159" s="141"/>
      <c r="I159" s="141"/>
      <c r="J159" s="141"/>
      <c r="K159" s="141"/>
      <c r="L159" s="142"/>
      <c r="M159" s="10"/>
    </row>
    <row r="160" spans="2:13" x14ac:dyDescent="0.3">
      <c r="B160" s="735" t="str">
        <f>"$ / "&amp;IF(Intro!$G$20="English",Variables!$B$24,Variables!$C$24)</f>
        <v>$ / tonne</v>
      </c>
      <c r="C160" s="736"/>
      <c r="D160" s="736"/>
      <c r="E160" s="289" t="str">
        <f t="shared" ref="E160:L160" si="29">IF(E158=0,"-",E159/E158)</f>
        <v>-</v>
      </c>
      <c r="F160" s="289" t="str">
        <f t="shared" si="29"/>
        <v>-</v>
      </c>
      <c r="G160" s="289" t="str">
        <f t="shared" si="29"/>
        <v>-</v>
      </c>
      <c r="H160" s="289" t="str">
        <f t="shared" si="29"/>
        <v>-</v>
      </c>
      <c r="I160" s="289" t="str">
        <f t="shared" si="29"/>
        <v>-</v>
      </c>
      <c r="J160" s="289" t="str">
        <f t="shared" si="29"/>
        <v>-</v>
      </c>
      <c r="K160" s="289" t="str">
        <f t="shared" si="29"/>
        <v>-</v>
      </c>
      <c r="L160" s="289" t="str">
        <f t="shared" si="29"/>
        <v>-</v>
      </c>
      <c r="M160" s="10"/>
    </row>
    <row r="161" spans="2:13" x14ac:dyDescent="0.3">
      <c r="B161" s="772" t="str">
        <f>IF(Intro!$G$20="English",Variables!B34,Variables!C34)</f>
        <v>Regrind Balls - 1.0" (25mm) within a 5% tolerance</v>
      </c>
      <c r="C161" s="614"/>
      <c r="D161" s="614"/>
      <c r="E161" s="614"/>
      <c r="F161" s="614"/>
      <c r="G161" s="614"/>
      <c r="H161" s="614"/>
      <c r="I161" s="614"/>
      <c r="J161" s="614"/>
      <c r="K161" s="614"/>
      <c r="L161" s="773"/>
      <c r="M161" s="10"/>
    </row>
    <row r="162" spans="2:13" x14ac:dyDescent="0.3">
      <c r="B162" s="774"/>
      <c r="C162" s="620"/>
      <c r="D162" s="620"/>
      <c r="E162" s="620"/>
      <c r="F162" s="620"/>
      <c r="G162" s="620"/>
      <c r="H162" s="620"/>
      <c r="I162" s="620"/>
      <c r="J162" s="620"/>
      <c r="K162" s="620"/>
      <c r="L162" s="775"/>
      <c r="M162" s="10"/>
    </row>
    <row r="163" spans="2:13" x14ac:dyDescent="0.3">
      <c r="B163" s="735" t="str">
        <f>IF(Intro!$G$20="English",Variables!$B$23,Variables!$C$23)</f>
        <v>tonnes</v>
      </c>
      <c r="C163" s="736"/>
      <c r="D163" s="736"/>
      <c r="E163" s="141"/>
      <c r="F163" s="141"/>
      <c r="G163" s="141"/>
      <c r="H163" s="141"/>
      <c r="I163" s="141"/>
      <c r="J163" s="141"/>
      <c r="K163" s="141"/>
      <c r="L163" s="142"/>
      <c r="M163" s="10"/>
    </row>
    <row r="164" spans="2:13" x14ac:dyDescent="0.3">
      <c r="B164" s="735" t="str">
        <f>IF(Intro!G$20="English","net delivered purchase value (CAD)","valeur d'achat nette rendue (CAD)")</f>
        <v>net delivered purchase value (CAD)</v>
      </c>
      <c r="C164" s="736"/>
      <c r="D164" s="736"/>
      <c r="E164" s="141"/>
      <c r="F164" s="141"/>
      <c r="G164" s="141"/>
      <c r="H164" s="141"/>
      <c r="I164" s="141"/>
      <c r="J164" s="141"/>
      <c r="K164" s="141"/>
      <c r="L164" s="142"/>
      <c r="M164" s="10"/>
    </row>
    <row r="165" spans="2:13" x14ac:dyDescent="0.3">
      <c r="B165" s="735" t="str">
        <f>"$ / "&amp;IF(Intro!$G$20="English",Variables!$B$24,Variables!$C$24)</f>
        <v>$ / tonne</v>
      </c>
      <c r="C165" s="736"/>
      <c r="D165" s="736"/>
      <c r="E165" s="289" t="str">
        <f t="shared" ref="E165:L165" si="30">IF(E163=0,"-",E164/E163)</f>
        <v>-</v>
      </c>
      <c r="F165" s="289" t="str">
        <f t="shared" si="30"/>
        <v>-</v>
      </c>
      <c r="G165" s="289" t="str">
        <f t="shared" si="30"/>
        <v>-</v>
      </c>
      <c r="H165" s="289" t="str">
        <f t="shared" si="30"/>
        <v>-</v>
      </c>
      <c r="I165" s="289" t="str">
        <f t="shared" si="30"/>
        <v>-</v>
      </c>
      <c r="J165" s="289" t="str">
        <f t="shared" si="30"/>
        <v>-</v>
      </c>
      <c r="K165" s="289" t="str">
        <f t="shared" si="30"/>
        <v>-</v>
      </c>
      <c r="L165" s="289" t="str">
        <f t="shared" si="30"/>
        <v>-</v>
      </c>
      <c r="M165" s="10"/>
    </row>
    <row r="166" spans="2:13" hidden="1" x14ac:dyDescent="0.3">
      <c r="B166" s="772" t="str">
        <f>IF(Intro!$G$20="English",Variables!B35,Variables!C35)</f>
        <v>BMP6</v>
      </c>
      <c r="C166" s="614"/>
      <c r="D166" s="614"/>
      <c r="E166" s="614"/>
      <c r="F166" s="614"/>
      <c r="G166" s="614"/>
      <c r="H166" s="614"/>
      <c r="I166" s="614"/>
      <c r="J166" s="614"/>
      <c r="K166" s="614"/>
      <c r="L166" s="773"/>
      <c r="M166" s="10"/>
    </row>
    <row r="167" spans="2:13" hidden="1" x14ac:dyDescent="0.3">
      <c r="B167" s="774"/>
      <c r="C167" s="620"/>
      <c r="D167" s="620"/>
      <c r="E167" s="620"/>
      <c r="F167" s="620"/>
      <c r="G167" s="620"/>
      <c r="H167" s="620"/>
      <c r="I167" s="620"/>
      <c r="J167" s="620"/>
      <c r="K167" s="620"/>
      <c r="L167" s="775"/>
      <c r="M167" s="10"/>
    </row>
    <row r="168" spans="2:13" hidden="1" x14ac:dyDescent="0.3">
      <c r="B168" s="776" t="str">
        <f>IF(Intro!$G$20="English",Variables!$B$23,Variables!$C$23)</f>
        <v>tonnes</v>
      </c>
      <c r="C168" s="777"/>
      <c r="D168" s="778"/>
      <c r="E168" s="141"/>
      <c r="F168" s="141"/>
      <c r="G168" s="141"/>
      <c r="H168" s="141"/>
      <c r="I168" s="141"/>
      <c r="J168" s="141"/>
      <c r="K168" s="141"/>
      <c r="L168" s="142"/>
      <c r="M168" s="10"/>
    </row>
    <row r="169" spans="2:13" hidden="1" x14ac:dyDescent="0.3">
      <c r="B169" s="776" t="str">
        <f>IF(Intro!G$20="English","net delivered purchase value (CAD)","valeur d'achat nette rendue (CAD)")</f>
        <v>net delivered purchase value (CAD)</v>
      </c>
      <c r="C169" s="777"/>
      <c r="D169" s="778"/>
      <c r="E169" s="141"/>
      <c r="F169" s="141"/>
      <c r="G169" s="141"/>
      <c r="H169" s="141"/>
      <c r="I169" s="141"/>
      <c r="J169" s="141"/>
      <c r="K169" s="141"/>
      <c r="L169" s="142"/>
      <c r="M169" s="10"/>
    </row>
    <row r="170" spans="2:13" hidden="1" x14ac:dyDescent="0.3">
      <c r="B170" s="776" t="str">
        <f>"$ / "&amp;IF(Intro!$G$20="English",Variables!$B$24,Variables!$C$24)</f>
        <v>$ / tonne</v>
      </c>
      <c r="C170" s="777"/>
      <c r="D170" s="778"/>
      <c r="E170" s="289" t="str">
        <f t="shared" ref="E170:L170" si="31">IF(E168=0,"-",E169/E168)</f>
        <v>-</v>
      </c>
      <c r="F170" s="289" t="str">
        <f t="shared" si="31"/>
        <v>-</v>
      </c>
      <c r="G170" s="289" t="str">
        <f t="shared" si="31"/>
        <v>-</v>
      </c>
      <c r="H170" s="289" t="str">
        <f t="shared" si="31"/>
        <v>-</v>
      </c>
      <c r="I170" s="289" t="str">
        <f t="shared" si="31"/>
        <v>-</v>
      </c>
      <c r="J170" s="289" t="str">
        <f t="shared" si="31"/>
        <v>-</v>
      </c>
      <c r="K170" s="289" t="str">
        <f t="shared" si="31"/>
        <v>-</v>
      </c>
      <c r="L170" s="289" t="str">
        <f t="shared" si="31"/>
        <v>-</v>
      </c>
      <c r="M170" s="10"/>
    </row>
    <row r="171" spans="2:13" hidden="1" x14ac:dyDescent="0.3">
      <c r="B171" s="772" t="str">
        <f>IF(Intro!$G$20="English",Variables!B36,Variables!C36)</f>
        <v>BMP7</v>
      </c>
      <c r="C171" s="614"/>
      <c r="D171" s="614"/>
      <c r="E171" s="614"/>
      <c r="F171" s="614"/>
      <c r="G171" s="614"/>
      <c r="H171" s="614"/>
      <c r="I171" s="614"/>
      <c r="J171" s="614"/>
      <c r="K171" s="614"/>
      <c r="L171" s="773"/>
      <c r="M171" s="10"/>
    </row>
    <row r="172" spans="2:13" hidden="1" x14ac:dyDescent="0.3">
      <c r="B172" s="774"/>
      <c r="C172" s="620"/>
      <c r="D172" s="620"/>
      <c r="E172" s="620"/>
      <c r="F172" s="620"/>
      <c r="G172" s="620"/>
      <c r="H172" s="620"/>
      <c r="I172" s="620"/>
      <c r="J172" s="620"/>
      <c r="K172" s="620"/>
      <c r="L172" s="775"/>
      <c r="M172" s="10"/>
    </row>
    <row r="173" spans="2:13" hidden="1" x14ac:dyDescent="0.3">
      <c r="B173" s="776" t="str">
        <f>IF(Intro!$G$20="English",Variables!$B$23,Variables!$C$23)</f>
        <v>tonnes</v>
      </c>
      <c r="C173" s="777"/>
      <c r="D173" s="778"/>
      <c r="E173" s="141"/>
      <c r="F173" s="141"/>
      <c r="G173" s="141"/>
      <c r="H173" s="141"/>
      <c r="I173" s="141"/>
      <c r="J173" s="141"/>
      <c r="K173" s="141"/>
      <c r="L173" s="142"/>
      <c r="M173" s="10"/>
    </row>
    <row r="174" spans="2:13" hidden="1" x14ac:dyDescent="0.3">
      <c r="B174" s="776" t="str">
        <f>IF(Intro!G$20="English","net delivered purchase value (CAD)","valeur d'achat nette rendue (CAD)")</f>
        <v>net delivered purchase value (CAD)</v>
      </c>
      <c r="C174" s="777"/>
      <c r="D174" s="778"/>
      <c r="E174" s="141"/>
      <c r="F174" s="141"/>
      <c r="G174" s="141"/>
      <c r="H174" s="141"/>
      <c r="I174" s="141"/>
      <c r="J174" s="141"/>
      <c r="K174" s="141"/>
      <c r="L174" s="142"/>
      <c r="M174" s="10"/>
    </row>
    <row r="175" spans="2:13" hidden="1" x14ac:dyDescent="0.3">
      <c r="B175" s="776" t="str">
        <f>"$ / "&amp;IF(Intro!$G$20="English",Variables!$B$24,Variables!$C$24)</f>
        <v>$ / tonne</v>
      </c>
      <c r="C175" s="777"/>
      <c r="D175" s="778"/>
      <c r="E175" s="289" t="str">
        <f t="shared" ref="E175:L175" si="32">IF(E173=0,"-",E174/E173)</f>
        <v>-</v>
      </c>
      <c r="F175" s="289" t="str">
        <f t="shared" si="32"/>
        <v>-</v>
      </c>
      <c r="G175" s="289" t="str">
        <f t="shared" si="32"/>
        <v>-</v>
      </c>
      <c r="H175" s="289" t="str">
        <f t="shared" si="32"/>
        <v>-</v>
      </c>
      <c r="I175" s="289" t="str">
        <f t="shared" si="32"/>
        <v>-</v>
      </c>
      <c r="J175" s="289" t="str">
        <f t="shared" si="32"/>
        <v>-</v>
      </c>
      <c r="K175" s="289" t="str">
        <f t="shared" si="32"/>
        <v>-</v>
      </c>
      <c r="L175" s="289" t="str">
        <f t="shared" si="32"/>
        <v>-</v>
      </c>
      <c r="M175" s="10"/>
    </row>
    <row r="176" spans="2:13" hidden="1" x14ac:dyDescent="0.3">
      <c r="B176" s="772" t="str">
        <f>IF(Intro!$G$20="English",Variables!B37,Variables!C37)</f>
        <v>BMP8</v>
      </c>
      <c r="C176" s="614"/>
      <c r="D176" s="614"/>
      <c r="E176" s="614"/>
      <c r="F176" s="614"/>
      <c r="G176" s="614"/>
      <c r="H176" s="614"/>
      <c r="I176" s="614"/>
      <c r="J176" s="614"/>
      <c r="K176" s="614"/>
      <c r="L176" s="773"/>
      <c r="M176" s="10"/>
    </row>
    <row r="177" spans="2:19" hidden="1" x14ac:dyDescent="0.3">
      <c r="B177" s="774"/>
      <c r="C177" s="620"/>
      <c r="D177" s="620"/>
      <c r="E177" s="620"/>
      <c r="F177" s="620"/>
      <c r="G177" s="620"/>
      <c r="H177" s="620"/>
      <c r="I177" s="620"/>
      <c r="J177" s="620"/>
      <c r="K177" s="620"/>
      <c r="L177" s="775"/>
      <c r="M177" s="10"/>
    </row>
    <row r="178" spans="2:19" hidden="1" x14ac:dyDescent="0.3">
      <c r="B178" s="776" t="str">
        <f>IF(Intro!$G$20="English",Variables!$B$23,Variables!$C$23)</f>
        <v>tonnes</v>
      </c>
      <c r="C178" s="777"/>
      <c r="D178" s="778"/>
      <c r="E178" s="141"/>
      <c r="F178" s="141"/>
      <c r="G178" s="141"/>
      <c r="H178" s="141"/>
      <c r="I178" s="141"/>
      <c r="J178" s="141"/>
      <c r="K178" s="141"/>
      <c r="L178" s="142"/>
      <c r="M178" s="10"/>
    </row>
    <row r="179" spans="2:19" hidden="1" x14ac:dyDescent="0.3">
      <c r="B179" s="776" t="str">
        <f>IF(Intro!G$20="English","net delivered purchase value (CAD)","valeur d'achat nette rendue (CAD)")</f>
        <v>net delivered purchase value (CAD)</v>
      </c>
      <c r="C179" s="777"/>
      <c r="D179" s="778"/>
      <c r="E179" s="141"/>
      <c r="F179" s="141"/>
      <c r="G179" s="141"/>
      <c r="H179" s="141"/>
      <c r="I179" s="141"/>
      <c r="J179" s="141"/>
      <c r="K179" s="141"/>
      <c r="L179" s="142"/>
      <c r="M179" s="10"/>
    </row>
    <row r="180" spans="2:19" hidden="1" x14ac:dyDescent="0.3">
      <c r="B180" s="776" t="str">
        <f>"$ / "&amp;IF(Intro!$G$20="English",Variables!$B$24,Variables!$C$24)</f>
        <v>$ / tonne</v>
      </c>
      <c r="C180" s="777"/>
      <c r="D180" s="778"/>
      <c r="E180" s="289" t="str">
        <f t="shared" ref="E180:L180" si="33">IF(E178=0,"-",E179/E178)</f>
        <v>-</v>
      </c>
      <c r="F180" s="289" t="str">
        <f t="shared" si="33"/>
        <v>-</v>
      </c>
      <c r="G180" s="289" t="str">
        <f t="shared" si="33"/>
        <v>-</v>
      </c>
      <c r="H180" s="289" t="str">
        <f t="shared" si="33"/>
        <v>-</v>
      </c>
      <c r="I180" s="289" t="str">
        <f t="shared" si="33"/>
        <v>-</v>
      </c>
      <c r="J180" s="289" t="str">
        <f t="shared" si="33"/>
        <v>-</v>
      </c>
      <c r="K180" s="289" t="str">
        <f t="shared" si="33"/>
        <v>-</v>
      </c>
      <c r="L180" s="289" t="str">
        <f t="shared" si="33"/>
        <v>-</v>
      </c>
      <c r="M180" s="10"/>
    </row>
    <row r="181" spans="2:19" x14ac:dyDescent="0.3">
      <c r="B181" s="115"/>
      <c r="C181" s="116"/>
      <c r="D181" s="116"/>
      <c r="E181" s="29"/>
      <c r="F181" s="29"/>
      <c r="G181" s="29"/>
      <c r="H181" s="29"/>
      <c r="I181" s="29"/>
      <c r="J181" s="29"/>
      <c r="K181" s="29"/>
      <c r="L181" s="30"/>
      <c r="M181" s="10"/>
    </row>
    <row r="182" spans="2:19" x14ac:dyDescent="0.3">
      <c r="B182" s="500" t="str">
        <f>IF(Intro!$G$20="English",O182,P182)</f>
        <v>In the table below, “Error” means that the total imports of your firm's benchmark products exceed your firm's total imports for that period. Therefore, please modify the above data if necessary.</v>
      </c>
      <c r="C182" s="501"/>
      <c r="D182" s="501"/>
      <c r="E182" s="501"/>
      <c r="F182" s="501"/>
      <c r="G182" s="501"/>
      <c r="H182" s="501"/>
      <c r="I182" s="501"/>
      <c r="J182" s="501"/>
      <c r="K182" s="501"/>
      <c r="L182" s="502"/>
      <c r="M182" s="10"/>
      <c r="O182" s="38" t="s">
        <v>366</v>
      </c>
      <c r="P182" s="38" t="s">
        <v>367</v>
      </c>
      <c r="Q182" s="38"/>
      <c r="R182" s="38"/>
      <c r="S182" s="38"/>
    </row>
    <row r="183" spans="2:19" x14ac:dyDescent="0.3">
      <c r="B183" s="500"/>
      <c r="C183" s="501"/>
      <c r="D183" s="501"/>
      <c r="E183" s="501"/>
      <c r="F183" s="501"/>
      <c r="G183" s="501"/>
      <c r="H183" s="501"/>
      <c r="I183" s="501"/>
      <c r="J183" s="501"/>
      <c r="K183" s="501"/>
      <c r="L183" s="502"/>
      <c r="M183" s="10"/>
      <c r="O183" s="38"/>
      <c r="P183" s="38"/>
      <c r="Q183" s="38"/>
      <c r="R183" s="38"/>
      <c r="S183" s="38"/>
    </row>
    <row r="184" spans="2:19" x14ac:dyDescent="0.3">
      <c r="B184" s="79"/>
      <c r="C184" s="80"/>
      <c r="D184" s="80"/>
      <c r="E184" s="29"/>
      <c r="F184" s="29"/>
      <c r="G184" s="29"/>
      <c r="H184" s="29"/>
      <c r="I184" s="29"/>
      <c r="J184" s="29"/>
      <c r="K184" s="29"/>
      <c r="L184" s="30"/>
      <c r="M184" s="10"/>
      <c r="O184" s="38"/>
      <c r="P184" s="38"/>
      <c r="Q184" s="38"/>
      <c r="R184" s="38"/>
      <c r="S184" s="38"/>
    </row>
    <row r="185" spans="2:19" ht="14.1" customHeight="1" x14ac:dyDescent="0.3">
      <c r="B185" s="763" t="str">
        <f>Variables!D62</f>
        <v>Verification - volume</v>
      </c>
      <c r="C185" s="764"/>
      <c r="D185" s="764"/>
      <c r="E185" s="764"/>
      <c r="F185" s="765"/>
      <c r="G185" s="221">
        <f>G125</f>
        <v>2024</v>
      </c>
      <c r="H185" s="221">
        <f>H125</f>
        <v>2025</v>
      </c>
      <c r="I185" s="221" t="str">
        <f>I125</f>
        <v>Q1 - 2026</v>
      </c>
      <c r="J185" s="291"/>
      <c r="K185" s="291"/>
      <c r="L185" s="292"/>
      <c r="M185" s="10"/>
    </row>
    <row r="186" spans="2:19" ht="14.1" customHeight="1" x14ac:dyDescent="0.3">
      <c r="B186" s="776" t="str">
        <f>B143</f>
        <v>tonnes</v>
      </c>
      <c r="C186" s="777"/>
      <c r="D186" s="777"/>
      <c r="E186" s="777"/>
      <c r="F186" s="778"/>
      <c r="G186" s="232" t="str">
        <f>IF(SUM(E143:G143,E148:G148,E153:G153,E158:G158,E163:G163,E168:G168,E173:G173,E178:G178)&gt;SUM(H27,H43,H59),Variables!$D$63,Variables!$D$64)</f>
        <v>Okay</v>
      </c>
      <c r="H186" s="232" t="str">
        <f>IF(SUM(H143:K143,H148:K148,H153:K153,H158:K158,H163:K163,H168:K168,H173:K173,H178:K178)&gt;SUM(I27,I43,I59),Variables!$D$63,Variables!$D$64)</f>
        <v>Okay</v>
      </c>
      <c r="I186" s="232" t="str">
        <f>IF(SUM(L143,L148,L153,L158,L163,L168,L173,L178)&gt;SUM(K27,K43,K59),Variables!$D$63,Variables!$D$64)</f>
        <v>Okay</v>
      </c>
      <c r="J186" s="291"/>
      <c r="K186" s="291"/>
      <c r="L186" s="292"/>
      <c r="M186" s="10"/>
    </row>
    <row r="187" spans="2:19" ht="14.1" customHeight="1" x14ac:dyDescent="0.3">
      <c r="B187" s="783" t="str">
        <f>IF(Intro!$G$20="English",O187,P187)</f>
        <v>volume - total imports of benchmark products (Question 3)</v>
      </c>
      <c r="C187" s="784"/>
      <c r="D187" s="784"/>
      <c r="E187" s="784"/>
      <c r="F187" s="785"/>
      <c r="G187" s="232">
        <f>SUM(E143:G143,E148:G148,E153:G153,E158:G158,E163:G163,E168:G168,E173:G173,E178:G178)</f>
        <v>0</v>
      </c>
      <c r="H187" s="232">
        <f>SUM(H143:K143,H148:K148,H153:K153,H158:K158,H163:K163,H168:K168,H173:K173,H178:K178)</f>
        <v>0</v>
      </c>
      <c r="I187" s="232">
        <f>SUM(L143,L148,L153,L158,L163,L168,L173,L178)</f>
        <v>0</v>
      </c>
      <c r="J187" s="291"/>
      <c r="K187" s="291"/>
      <c r="L187" s="292"/>
      <c r="M187" s="10"/>
      <c r="O187" s="10" t="s">
        <v>491</v>
      </c>
      <c r="P187" s="10" t="s">
        <v>492</v>
      </c>
    </row>
    <row r="188" spans="2:19" ht="14.1" customHeight="1" x14ac:dyDescent="0.3">
      <c r="B188" s="783" t="str">
        <f>IF(Intro!$G$20="English",O188,P188)</f>
        <v>volume - total imports (Question 1)</v>
      </c>
      <c r="C188" s="784"/>
      <c r="D188" s="784"/>
      <c r="E188" s="784"/>
      <c r="F188" s="785"/>
      <c r="G188" s="232">
        <f>H27</f>
        <v>0</v>
      </c>
      <c r="H188" s="232">
        <f>I27</f>
        <v>0</v>
      </c>
      <c r="I188" s="232">
        <f>K27</f>
        <v>0</v>
      </c>
      <c r="J188" s="291"/>
      <c r="K188" s="291"/>
      <c r="L188" s="292"/>
      <c r="M188" s="10"/>
      <c r="O188" s="10" t="s">
        <v>493</v>
      </c>
      <c r="P188" s="10" t="s">
        <v>494</v>
      </c>
    </row>
    <row r="189" spans="2:19" x14ac:dyDescent="0.3">
      <c r="B189" s="763" t="str">
        <f>Variables!D66</f>
        <v>Verification - value</v>
      </c>
      <c r="C189" s="764"/>
      <c r="D189" s="764"/>
      <c r="E189" s="764"/>
      <c r="F189" s="765"/>
      <c r="G189" s="221">
        <f>G185</f>
        <v>2024</v>
      </c>
      <c r="H189" s="221">
        <f>H185</f>
        <v>2025</v>
      </c>
      <c r="I189" s="221" t="str">
        <f>I185</f>
        <v>Q1 - 2026</v>
      </c>
      <c r="J189" s="291"/>
      <c r="K189" s="291"/>
      <c r="L189" s="292"/>
      <c r="M189" s="10"/>
    </row>
    <row r="190" spans="2:19" ht="14.1" customHeight="1" x14ac:dyDescent="0.3">
      <c r="B190" s="776" t="str">
        <f>B144</f>
        <v>net delivered purchase value (CAD)</v>
      </c>
      <c r="C190" s="777"/>
      <c r="D190" s="777"/>
      <c r="E190" s="777"/>
      <c r="F190" s="778"/>
      <c r="G190" s="232" t="str">
        <f>IF(SUM(E144:G144,E149:G149,E154:G154,E159:G159,E164:G164,E169:G169,E174:G174,E179:G179)&gt;SUM(H28,H44,H60),Variables!$D$63,Variables!$D$64)</f>
        <v>Okay</v>
      </c>
      <c r="H190" s="232" t="str">
        <f>IF(SUM(H144:K144,H149:K149,H154:K154,H159:K159,H164:K164,H169:K169,H174:K174,H179:K179)&gt;SUM(I28,I44,I60),Variables!$D$63,Variables!$D$64)</f>
        <v>Okay</v>
      </c>
      <c r="I190" s="232" t="str">
        <f>IF(SUM(L144,L149,L154,L159,L164,L169,L174,L179)&gt;SUM(K28,K44,K60),Variables!$D$63,Variables!$D$64)</f>
        <v>Okay</v>
      </c>
      <c r="J190" s="291"/>
      <c r="K190" s="291"/>
      <c r="L190" s="292"/>
      <c r="M190" s="10"/>
    </row>
    <row r="191" spans="2:19" ht="14.1" customHeight="1" x14ac:dyDescent="0.3">
      <c r="B191" s="783" t="str">
        <f>IF(Intro!$G$20="English",O191,P191)</f>
        <v>value - total imports of benchmark products (Question 3)</v>
      </c>
      <c r="C191" s="784"/>
      <c r="D191" s="784"/>
      <c r="E191" s="784"/>
      <c r="F191" s="785"/>
      <c r="G191" s="232">
        <f>SUM(E144:G144,E149:G149,E154:G154,E159:G159,E164:G164,E169:G169,E174:G174,E179:G179)</f>
        <v>0</v>
      </c>
      <c r="H191" s="232">
        <f>SUM(H144:K144,H149:K149,H154:K154,H159:K159,H164:K164,H169:K169,H174:K174,H179:K179)</f>
        <v>0</v>
      </c>
      <c r="I191" s="232">
        <f>SUM(L144,L149,L154,L159,L164,L169,L174,L179)</f>
        <v>0</v>
      </c>
      <c r="J191" s="291"/>
      <c r="K191" s="291"/>
      <c r="L191" s="292"/>
      <c r="M191" s="10"/>
      <c r="O191" s="10" t="s">
        <v>495</v>
      </c>
      <c r="P191" s="10" t="s">
        <v>496</v>
      </c>
    </row>
    <row r="192" spans="2:19" ht="14.1" customHeight="1" x14ac:dyDescent="0.3">
      <c r="B192" s="783" t="str">
        <f>IF(Intro!$G$20="English",O192,P192)</f>
        <v>value - total imports (Question 1)</v>
      </c>
      <c r="C192" s="784"/>
      <c r="D192" s="784"/>
      <c r="E192" s="784"/>
      <c r="F192" s="785"/>
      <c r="G192" s="232">
        <f>H28</f>
        <v>0</v>
      </c>
      <c r="H192" s="232">
        <f>I28</f>
        <v>0</v>
      </c>
      <c r="I192" s="232">
        <f>K28</f>
        <v>0</v>
      </c>
      <c r="J192" s="291"/>
      <c r="K192" s="291"/>
      <c r="L192" s="292"/>
      <c r="M192" s="10"/>
      <c r="O192" s="10" t="s">
        <v>571</v>
      </c>
      <c r="P192" s="10" t="s">
        <v>497</v>
      </c>
    </row>
    <row r="193" spans="1:16" x14ac:dyDescent="0.3">
      <c r="B193" s="72"/>
      <c r="C193" s="84"/>
      <c r="D193" s="84"/>
      <c r="E193" s="84"/>
      <c r="F193" s="84"/>
      <c r="G193" s="84"/>
      <c r="H193" s="84"/>
      <c r="I193" s="84"/>
      <c r="J193" s="84"/>
      <c r="K193" s="84"/>
      <c r="L193" s="85"/>
      <c r="M193" s="10"/>
    </row>
    <row r="194" spans="1:16" s="11" customFormat="1" x14ac:dyDescent="0.3">
      <c r="A194" s="7"/>
      <c r="B194" s="92"/>
      <c r="C194" s="90"/>
      <c r="D194" s="90"/>
      <c r="E194" s="91"/>
      <c r="F194" s="91"/>
      <c r="G194" s="91"/>
      <c r="H194" s="91"/>
      <c r="I194" s="91"/>
      <c r="J194" s="91"/>
      <c r="K194" s="91"/>
      <c r="L194" s="91"/>
      <c r="M194" s="73"/>
    </row>
    <row r="195" spans="1:16" x14ac:dyDescent="0.3">
      <c r="B195" s="506" t="str">
        <f>IF(Intro!$G$20="English",O195,P195)</f>
        <v>SALES IN CANADA OF IMPORTS OF BENCHMARK PRODUCTS</v>
      </c>
      <c r="C195" s="507"/>
      <c r="D195" s="507"/>
      <c r="E195" s="507"/>
      <c r="F195" s="507"/>
      <c r="G195" s="507"/>
      <c r="H195" s="507"/>
      <c r="I195" s="507"/>
      <c r="J195" s="507"/>
      <c r="K195" s="507"/>
      <c r="L195" s="508"/>
      <c r="M195" s="10"/>
      <c r="O195" s="107" t="s">
        <v>335</v>
      </c>
      <c r="P195" s="107" t="s">
        <v>436</v>
      </c>
    </row>
    <row r="196" spans="1:16" x14ac:dyDescent="0.3">
      <c r="B196" s="647" t="s">
        <v>17</v>
      </c>
      <c r="C196" s="648"/>
      <c r="D196" s="648"/>
      <c r="E196" s="648"/>
      <c r="F196" s="648"/>
      <c r="G196" s="648"/>
      <c r="H196" s="648"/>
      <c r="I196" s="648"/>
      <c r="J196" s="648"/>
      <c r="K196" s="648"/>
      <c r="L196" s="649"/>
      <c r="M196" s="10"/>
    </row>
    <row r="197" spans="1:16" x14ac:dyDescent="0.3">
      <c r="B197" s="16"/>
      <c r="C197" s="35"/>
      <c r="D197" s="35"/>
      <c r="E197" s="36"/>
      <c r="F197" s="36"/>
      <c r="G197" s="36"/>
      <c r="H197" s="36"/>
      <c r="I197" s="36"/>
      <c r="J197" s="36"/>
      <c r="K197" s="36"/>
      <c r="L197" s="17"/>
      <c r="M197" s="10"/>
    </row>
    <row r="198" spans="1:16" x14ac:dyDescent="0.3">
      <c r="B198" s="503" t="str">
        <f>IF(Intro!$G$20="English",O198,P198)</f>
        <v xml:space="preserve">Report the volume and value of sales of imports in Canada for each benchmark product listed below : </v>
      </c>
      <c r="C198" s="504"/>
      <c r="D198" s="504"/>
      <c r="E198" s="504"/>
      <c r="F198" s="504"/>
      <c r="G198" s="504"/>
      <c r="H198" s="504"/>
      <c r="I198" s="504"/>
      <c r="J198" s="504"/>
      <c r="K198" s="504"/>
      <c r="L198" s="505"/>
      <c r="M198" s="10"/>
      <c r="O198" s="18" t="s">
        <v>170</v>
      </c>
      <c r="P198" s="10" t="s">
        <v>435</v>
      </c>
    </row>
    <row r="199" spans="1:16" x14ac:dyDescent="0.3">
      <c r="B199" s="503" t="str">
        <f>Pro!B22</f>
        <v>Note - Only complete this question if your firm sold the goods between January 1, 2023, and March 31, 2026.</v>
      </c>
      <c r="C199" s="504"/>
      <c r="D199" s="504"/>
      <c r="E199" s="504"/>
      <c r="F199" s="504"/>
      <c r="G199" s="504"/>
      <c r="H199" s="504"/>
      <c r="I199" s="504"/>
      <c r="J199" s="504"/>
      <c r="K199" s="504"/>
      <c r="L199" s="505"/>
      <c r="M199" s="10"/>
      <c r="O199" s="18"/>
    </row>
    <row r="200" spans="1:16" x14ac:dyDescent="0.3">
      <c r="B200" s="79"/>
      <c r="C200" s="35"/>
      <c r="D200" s="35"/>
      <c r="E200" s="36"/>
      <c r="F200" s="36"/>
      <c r="G200" s="36"/>
      <c r="H200" s="36"/>
      <c r="I200" s="36"/>
      <c r="J200" s="36"/>
      <c r="K200" s="36"/>
      <c r="L200" s="17"/>
      <c r="M200" s="10"/>
      <c r="O200" s="18"/>
    </row>
    <row r="201" spans="1:16" x14ac:dyDescent="0.3">
      <c r="B201" s="779"/>
      <c r="C201" s="780"/>
      <c r="D201" s="781"/>
      <c r="E201" s="147" t="str">
        <f t="shared" ref="E201:L201" si="34">E140</f>
        <v>Q2 - 2024</v>
      </c>
      <c r="F201" s="147" t="str">
        <f t="shared" si="34"/>
        <v>Q3 - 2024</v>
      </c>
      <c r="G201" s="147" t="str">
        <f t="shared" si="34"/>
        <v>Q4 - 2024</v>
      </c>
      <c r="H201" s="147" t="str">
        <f t="shared" si="34"/>
        <v>Q1 - 2025</v>
      </c>
      <c r="I201" s="147" t="str">
        <f t="shared" si="34"/>
        <v>Q2 - 2025</v>
      </c>
      <c r="J201" s="147" t="str">
        <f t="shared" si="34"/>
        <v>Q3 - 2025</v>
      </c>
      <c r="K201" s="147" t="str">
        <f t="shared" si="34"/>
        <v>Q4 - 2025</v>
      </c>
      <c r="L201" s="148" t="str">
        <f t="shared" si="34"/>
        <v>Q1 - 2026</v>
      </c>
      <c r="M201" s="10"/>
      <c r="O201" s="18"/>
    </row>
    <row r="202" spans="1:16" x14ac:dyDescent="0.3">
      <c r="B202" s="772" t="str">
        <f>B141</f>
        <v>SAG Balls - 5.0" (125mm) within a 5% tolerance</v>
      </c>
      <c r="C202" s="614"/>
      <c r="D202" s="614"/>
      <c r="E202" s="614"/>
      <c r="F202" s="614"/>
      <c r="G202" s="614"/>
      <c r="H202" s="614"/>
      <c r="I202" s="614"/>
      <c r="J202" s="614"/>
      <c r="K202" s="614"/>
      <c r="L202" s="773"/>
      <c r="M202" s="10"/>
    </row>
    <row r="203" spans="1:16" x14ac:dyDescent="0.3">
      <c r="B203" s="774"/>
      <c r="C203" s="620"/>
      <c r="D203" s="620"/>
      <c r="E203" s="620"/>
      <c r="F203" s="620"/>
      <c r="G203" s="620"/>
      <c r="H203" s="620"/>
      <c r="I203" s="620"/>
      <c r="J203" s="620"/>
      <c r="K203" s="620"/>
      <c r="L203" s="775"/>
      <c r="M203" s="10"/>
    </row>
    <row r="204" spans="1:16" x14ac:dyDescent="0.3">
      <c r="B204" s="735" t="str">
        <f>IF(Intro!$G$20="English",Variables!$B$23,Variables!$C$23)</f>
        <v>tonnes</v>
      </c>
      <c r="C204" s="736"/>
      <c r="D204" s="736"/>
      <c r="E204" s="141"/>
      <c r="F204" s="141"/>
      <c r="G204" s="141"/>
      <c r="H204" s="141"/>
      <c r="I204" s="141"/>
      <c r="J204" s="141"/>
      <c r="K204" s="141"/>
      <c r="L204" s="142"/>
      <c r="M204" s="10"/>
    </row>
    <row r="205" spans="1:16" x14ac:dyDescent="0.3">
      <c r="B205" s="735" t="str">
        <f>IF(Intro!G$20="English","net delivered selling value (CAD)","valeur de vente nette rendue (CAD)")</f>
        <v>net delivered selling value (CAD)</v>
      </c>
      <c r="C205" s="736"/>
      <c r="D205" s="736"/>
      <c r="E205" s="141"/>
      <c r="F205" s="141"/>
      <c r="G205" s="141"/>
      <c r="H205" s="141"/>
      <c r="I205" s="141"/>
      <c r="J205" s="141"/>
      <c r="K205" s="141"/>
      <c r="L205" s="142"/>
      <c r="M205" s="10"/>
    </row>
    <row r="206" spans="1:16" x14ac:dyDescent="0.3">
      <c r="B206" s="735" t="str">
        <f>"$ / "&amp;IF(Intro!$G$20="English",Variables!$B$24,Variables!$C$24)</f>
        <v>$ / tonne</v>
      </c>
      <c r="C206" s="736"/>
      <c r="D206" s="736"/>
      <c r="E206" s="289" t="str">
        <f t="shared" ref="E206:L206" si="35">IF(E204=0,"-",E205/E204)</f>
        <v>-</v>
      </c>
      <c r="F206" s="289" t="str">
        <f t="shared" si="35"/>
        <v>-</v>
      </c>
      <c r="G206" s="289" t="str">
        <f t="shared" si="35"/>
        <v>-</v>
      </c>
      <c r="H206" s="289" t="str">
        <f t="shared" si="35"/>
        <v>-</v>
      </c>
      <c r="I206" s="289" t="str">
        <f t="shared" si="35"/>
        <v>-</v>
      </c>
      <c r="J206" s="289" t="str">
        <f t="shared" si="35"/>
        <v>-</v>
      </c>
      <c r="K206" s="289" t="str">
        <f t="shared" si="35"/>
        <v>-</v>
      </c>
      <c r="L206" s="289" t="str">
        <f t="shared" si="35"/>
        <v>-</v>
      </c>
      <c r="M206" s="10"/>
    </row>
    <row r="207" spans="1:16" x14ac:dyDescent="0.3">
      <c r="B207" s="772" t="str">
        <f>B146</f>
        <v>SAG Balls - 5.25" (133mm) within a 5% tolerance</v>
      </c>
      <c r="C207" s="614"/>
      <c r="D207" s="614"/>
      <c r="E207" s="614"/>
      <c r="F207" s="614"/>
      <c r="G207" s="614"/>
      <c r="H207" s="614"/>
      <c r="I207" s="614"/>
      <c r="J207" s="614"/>
      <c r="K207" s="614"/>
      <c r="L207" s="773"/>
      <c r="M207" s="10"/>
    </row>
    <row r="208" spans="1:16" x14ac:dyDescent="0.3">
      <c r="B208" s="774"/>
      <c r="C208" s="620"/>
      <c r="D208" s="620"/>
      <c r="E208" s="620"/>
      <c r="F208" s="620"/>
      <c r="G208" s="620"/>
      <c r="H208" s="620"/>
      <c r="I208" s="620"/>
      <c r="J208" s="620"/>
      <c r="K208" s="620"/>
      <c r="L208" s="775"/>
      <c r="M208" s="10"/>
    </row>
    <row r="209" spans="2:13" x14ac:dyDescent="0.3">
      <c r="B209" s="735" t="str">
        <f>IF(Intro!$G$20="English",Variables!$B$23,Variables!$C$23)</f>
        <v>tonnes</v>
      </c>
      <c r="C209" s="736"/>
      <c r="D209" s="736"/>
      <c r="E209" s="141"/>
      <c r="F209" s="141"/>
      <c r="G209" s="141"/>
      <c r="H209" s="141"/>
      <c r="I209" s="141"/>
      <c r="J209" s="141"/>
      <c r="K209" s="141"/>
      <c r="L209" s="142"/>
      <c r="M209" s="10"/>
    </row>
    <row r="210" spans="2:13" x14ac:dyDescent="0.3">
      <c r="B210" s="735" t="str">
        <f>IF(Intro!G$20="English","net delivered selling value (CAD)","valeur de vente nette rendue (CAD)")</f>
        <v>net delivered selling value (CAD)</v>
      </c>
      <c r="C210" s="736"/>
      <c r="D210" s="736"/>
      <c r="E210" s="141"/>
      <c r="F210" s="141"/>
      <c r="G210" s="141"/>
      <c r="H210" s="141"/>
      <c r="I210" s="141"/>
      <c r="J210" s="141"/>
      <c r="K210" s="141"/>
      <c r="L210" s="142"/>
      <c r="M210" s="10"/>
    </row>
    <row r="211" spans="2:13" x14ac:dyDescent="0.3">
      <c r="B211" s="735" t="str">
        <f>"$ / "&amp;IF(Intro!$G$20="English",Variables!$B$24,Variables!$C$24)</f>
        <v>$ / tonne</v>
      </c>
      <c r="C211" s="736"/>
      <c r="D211" s="736"/>
      <c r="E211" s="289" t="str">
        <f t="shared" ref="E211:L211" si="36">IF(E209=0,"-",E210/E209)</f>
        <v>-</v>
      </c>
      <c r="F211" s="289" t="str">
        <f t="shared" si="36"/>
        <v>-</v>
      </c>
      <c r="G211" s="289" t="str">
        <f t="shared" si="36"/>
        <v>-</v>
      </c>
      <c r="H211" s="289" t="str">
        <f t="shared" si="36"/>
        <v>-</v>
      </c>
      <c r="I211" s="289" t="str">
        <f t="shared" si="36"/>
        <v>-</v>
      </c>
      <c r="J211" s="289" t="str">
        <f t="shared" si="36"/>
        <v>-</v>
      </c>
      <c r="K211" s="289" t="str">
        <f t="shared" si="36"/>
        <v>-</v>
      </c>
      <c r="L211" s="289" t="str">
        <f t="shared" si="36"/>
        <v>-</v>
      </c>
      <c r="M211" s="10"/>
    </row>
    <row r="212" spans="2:13" x14ac:dyDescent="0.3">
      <c r="B212" s="772" t="str">
        <f>B151</f>
        <v>Mid-size Balls - 2.5" (65mm) within a 5% tolerance</v>
      </c>
      <c r="C212" s="614"/>
      <c r="D212" s="614"/>
      <c r="E212" s="614"/>
      <c r="F212" s="614"/>
      <c r="G212" s="614"/>
      <c r="H212" s="614"/>
      <c r="I212" s="614"/>
      <c r="J212" s="614"/>
      <c r="K212" s="614"/>
      <c r="L212" s="773"/>
      <c r="M212" s="10"/>
    </row>
    <row r="213" spans="2:13" x14ac:dyDescent="0.3">
      <c r="B213" s="774"/>
      <c r="C213" s="620"/>
      <c r="D213" s="620"/>
      <c r="E213" s="620"/>
      <c r="F213" s="620"/>
      <c r="G213" s="620"/>
      <c r="H213" s="620"/>
      <c r="I213" s="620"/>
      <c r="J213" s="620"/>
      <c r="K213" s="620"/>
      <c r="L213" s="775"/>
      <c r="M213" s="10"/>
    </row>
    <row r="214" spans="2:13" x14ac:dyDescent="0.3">
      <c r="B214" s="735" t="str">
        <f>IF(Intro!$G$20="English",Variables!$B$23,Variables!$C$23)</f>
        <v>tonnes</v>
      </c>
      <c r="C214" s="736"/>
      <c r="D214" s="736"/>
      <c r="E214" s="141"/>
      <c r="F214" s="141"/>
      <c r="G214" s="141"/>
      <c r="H214" s="141"/>
      <c r="I214" s="141"/>
      <c r="J214" s="141"/>
      <c r="K214" s="141"/>
      <c r="L214" s="142"/>
      <c r="M214" s="10"/>
    </row>
    <row r="215" spans="2:13" x14ac:dyDescent="0.3">
      <c r="B215" s="735" t="str">
        <f>IF(Intro!G$20="English","net delivered selling value (CAD)","valeur de vente nette rendue (CAD)")</f>
        <v>net delivered selling value (CAD)</v>
      </c>
      <c r="C215" s="736"/>
      <c r="D215" s="736"/>
      <c r="E215" s="141"/>
      <c r="F215" s="141"/>
      <c r="G215" s="141"/>
      <c r="H215" s="141"/>
      <c r="I215" s="141"/>
      <c r="J215" s="141"/>
      <c r="K215" s="141"/>
      <c r="L215" s="142"/>
      <c r="M215" s="10"/>
    </row>
    <row r="216" spans="2:13" x14ac:dyDescent="0.3">
      <c r="B216" s="735" t="str">
        <f>"$ / "&amp;IF(Intro!$G$20="English",Variables!$B$24,Variables!$C$24)</f>
        <v>$ / tonne</v>
      </c>
      <c r="C216" s="736"/>
      <c r="D216" s="736"/>
      <c r="E216" s="289" t="str">
        <f t="shared" ref="E216:L216" si="37">IF(E214=0,"-",E215/E214)</f>
        <v>-</v>
      </c>
      <c r="F216" s="289" t="str">
        <f t="shared" si="37"/>
        <v>-</v>
      </c>
      <c r="G216" s="289" t="str">
        <f t="shared" si="37"/>
        <v>-</v>
      </c>
      <c r="H216" s="289" t="str">
        <f t="shared" si="37"/>
        <v>-</v>
      </c>
      <c r="I216" s="289" t="str">
        <f t="shared" si="37"/>
        <v>-</v>
      </c>
      <c r="J216" s="289" t="str">
        <f t="shared" si="37"/>
        <v>-</v>
      </c>
      <c r="K216" s="289" t="str">
        <f t="shared" si="37"/>
        <v>-</v>
      </c>
      <c r="L216" s="289" t="str">
        <f t="shared" si="37"/>
        <v>-</v>
      </c>
      <c r="M216" s="10"/>
    </row>
    <row r="217" spans="2:13" x14ac:dyDescent="0.3">
      <c r="B217" s="772" t="str">
        <f>B156</f>
        <v>Mid-size Balls - 3.5" (94mm) within a 5% tolerance</v>
      </c>
      <c r="C217" s="614"/>
      <c r="D217" s="614"/>
      <c r="E217" s="614"/>
      <c r="F217" s="614"/>
      <c r="G217" s="614"/>
      <c r="H217" s="614"/>
      <c r="I217" s="614"/>
      <c r="J217" s="614"/>
      <c r="K217" s="614"/>
      <c r="L217" s="773"/>
      <c r="M217" s="10"/>
    </row>
    <row r="218" spans="2:13" x14ac:dyDescent="0.3">
      <c r="B218" s="774"/>
      <c r="C218" s="620"/>
      <c r="D218" s="620"/>
      <c r="E218" s="620"/>
      <c r="F218" s="620"/>
      <c r="G218" s="620"/>
      <c r="H218" s="620"/>
      <c r="I218" s="620"/>
      <c r="J218" s="620"/>
      <c r="K218" s="620"/>
      <c r="L218" s="775"/>
      <c r="M218" s="10"/>
    </row>
    <row r="219" spans="2:13" x14ac:dyDescent="0.3">
      <c r="B219" s="735" t="str">
        <f>IF(Intro!$G$20="English",Variables!$B$23,Variables!$C$23)</f>
        <v>tonnes</v>
      </c>
      <c r="C219" s="736"/>
      <c r="D219" s="736"/>
      <c r="E219" s="141"/>
      <c r="F219" s="141"/>
      <c r="G219" s="141"/>
      <c r="H219" s="141"/>
      <c r="I219" s="141"/>
      <c r="J219" s="141"/>
      <c r="K219" s="141"/>
      <c r="L219" s="142"/>
      <c r="M219" s="10"/>
    </row>
    <row r="220" spans="2:13" x14ac:dyDescent="0.3">
      <c r="B220" s="735" t="str">
        <f>IF(Intro!G$20="English","net delivered selling value (CAD)","valeur de vente nette rendue (CAD)")</f>
        <v>net delivered selling value (CAD)</v>
      </c>
      <c r="C220" s="736"/>
      <c r="D220" s="736"/>
      <c r="E220" s="141"/>
      <c r="F220" s="141"/>
      <c r="G220" s="141"/>
      <c r="H220" s="141"/>
      <c r="I220" s="141"/>
      <c r="J220" s="141"/>
      <c r="K220" s="141"/>
      <c r="L220" s="142"/>
      <c r="M220" s="10"/>
    </row>
    <row r="221" spans="2:13" x14ac:dyDescent="0.3">
      <c r="B221" s="735" t="str">
        <f>"$ / "&amp;IF(Intro!$G$20="English",Variables!$B$24,Variables!$C$24)</f>
        <v>$ / tonne</v>
      </c>
      <c r="C221" s="736"/>
      <c r="D221" s="736"/>
      <c r="E221" s="289" t="str">
        <f t="shared" ref="E221:L221" si="38">IF(E219=0,"-",E220/E219)</f>
        <v>-</v>
      </c>
      <c r="F221" s="289" t="str">
        <f t="shared" si="38"/>
        <v>-</v>
      </c>
      <c r="G221" s="289" t="str">
        <f t="shared" si="38"/>
        <v>-</v>
      </c>
      <c r="H221" s="289" t="str">
        <f t="shared" si="38"/>
        <v>-</v>
      </c>
      <c r="I221" s="289" t="str">
        <f t="shared" si="38"/>
        <v>-</v>
      </c>
      <c r="J221" s="289" t="str">
        <f t="shared" si="38"/>
        <v>-</v>
      </c>
      <c r="K221" s="289" t="str">
        <f t="shared" si="38"/>
        <v>-</v>
      </c>
      <c r="L221" s="289" t="str">
        <f t="shared" si="38"/>
        <v>-</v>
      </c>
      <c r="M221" s="10"/>
    </row>
    <row r="222" spans="2:13" x14ac:dyDescent="0.3">
      <c r="B222" s="772" t="str">
        <f>B161</f>
        <v>Regrind Balls - 1.0" (25mm) within a 5% tolerance</v>
      </c>
      <c r="C222" s="614"/>
      <c r="D222" s="614"/>
      <c r="E222" s="614"/>
      <c r="F222" s="614"/>
      <c r="G222" s="614"/>
      <c r="H222" s="614"/>
      <c r="I222" s="614"/>
      <c r="J222" s="614"/>
      <c r="K222" s="614"/>
      <c r="L222" s="773"/>
      <c r="M222" s="10"/>
    </row>
    <row r="223" spans="2:13" x14ac:dyDescent="0.3">
      <c r="B223" s="774"/>
      <c r="C223" s="620"/>
      <c r="D223" s="620"/>
      <c r="E223" s="620"/>
      <c r="F223" s="620"/>
      <c r="G223" s="620"/>
      <c r="H223" s="620"/>
      <c r="I223" s="620"/>
      <c r="J223" s="620"/>
      <c r="K223" s="620"/>
      <c r="L223" s="775"/>
      <c r="M223" s="10"/>
    </row>
    <row r="224" spans="2:13" x14ac:dyDescent="0.3">
      <c r="B224" s="735" t="str">
        <f>IF(Intro!$G$20="English",Variables!$B$23,Variables!$C$23)</f>
        <v>tonnes</v>
      </c>
      <c r="C224" s="736"/>
      <c r="D224" s="736"/>
      <c r="E224" s="141"/>
      <c r="F224" s="141"/>
      <c r="G224" s="141"/>
      <c r="H224" s="141"/>
      <c r="I224" s="141"/>
      <c r="J224" s="141"/>
      <c r="K224" s="141"/>
      <c r="L224" s="142"/>
      <c r="M224" s="10"/>
    </row>
    <row r="225" spans="2:13" x14ac:dyDescent="0.3">
      <c r="B225" s="735" t="str">
        <f>IF(Intro!G$20="English","net delivered selling value (CAD)","valeur de vente nette rendue (CAD)")</f>
        <v>net delivered selling value (CAD)</v>
      </c>
      <c r="C225" s="736"/>
      <c r="D225" s="736"/>
      <c r="E225" s="141"/>
      <c r="F225" s="141"/>
      <c r="G225" s="141"/>
      <c r="H225" s="141"/>
      <c r="I225" s="141"/>
      <c r="J225" s="141"/>
      <c r="K225" s="141"/>
      <c r="L225" s="142"/>
      <c r="M225" s="10"/>
    </row>
    <row r="226" spans="2:13" x14ac:dyDescent="0.3">
      <c r="B226" s="735" t="str">
        <f>"$ / "&amp;IF(Intro!$G$20="English",Variables!$B$24,Variables!$C$24)</f>
        <v>$ / tonne</v>
      </c>
      <c r="C226" s="736"/>
      <c r="D226" s="736"/>
      <c r="E226" s="289" t="str">
        <f t="shared" ref="E226:L226" si="39">IF(E224=0,"-",E225/E224)</f>
        <v>-</v>
      </c>
      <c r="F226" s="289" t="str">
        <f t="shared" si="39"/>
        <v>-</v>
      </c>
      <c r="G226" s="289" t="str">
        <f t="shared" si="39"/>
        <v>-</v>
      </c>
      <c r="H226" s="289" t="str">
        <f t="shared" si="39"/>
        <v>-</v>
      </c>
      <c r="I226" s="289" t="str">
        <f t="shared" si="39"/>
        <v>-</v>
      </c>
      <c r="J226" s="289" t="str">
        <f t="shared" si="39"/>
        <v>-</v>
      </c>
      <c r="K226" s="289" t="str">
        <f t="shared" si="39"/>
        <v>-</v>
      </c>
      <c r="L226" s="289" t="str">
        <f t="shared" si="39"/>
        <v>-</v>
      </c>
      <c r="M226" s="10"/>
    </row>
    <row r="227" spans="2:13" hidden="1" x14ac:dyDescent="0.3">
      <c r="B227" s="772" t="str">
        <f>B166</f>
        <v>BMP6</v>
      </c>
      <c r="C227" s="614"/>
      <c r="D227" s="614"/>
      <c r="E227" s="614"/>
      <c r="F227" s="614"/>
      <c r="G227" s="614"/>
      <c r="H227" s="614"/>
      <c r="I227" s="614"/>
      <c r="J227" s="614"/>
      <c r="K227" s="614"/>
      <c r="L227" s="773"/>
      <c r="M227" s="10"/>
    </row>
    <row r="228" spans="2:13" hidden="1" x14ac:dyDescent="0.3">
      <c r="B228" s="774"/>
      <c r="C228" s="620"/>
      <c r="D228" s="620"/>
      <c r="E228" s="620"/>
      <c r="F228" s="620"/>
      <c r="G228" s="620"/>
      <c r="H228" s="620"/>
      <c r="I228" s="620"/>
      <c r="J228" s="620"/>
      <c r="K228" s="620"/>
      <c r="L228" s="775"/>
      <c r="M228" s="10"/>
    </row>
    <row r="229" spans="2:13" hidden="1" x14ac:dyDescent="0.3">
      <c r="B229" s="735" t="str">
        <f>IF(Intro!$G$20="English",Variables!$B$23,Variables!$C$23)</f>
        <v>tonnes</v>
      </c>
      <c r="C229" s="736"/>
      <c r="D229" s="736"/>
      <c r="E229" s="141"/>
      <c r="F229" s="141"/>
      <c r="G229" s="141"/>
      <c r="H229" s="141"/>
      <c r="I229" s="141"/>
      <c r="J229" s="141"/>
      <c r="K229" s="141"/>
      <c r="L229" s="142"/>
      <c r="M229" s="10"/>
    </row>
    <row r="230" spans="2:13" hidden="1" x14ac:dyDescent="0.3">
      <c r="B230" s="735" t="str">
        <f>IF(Intro!G$20="English","net delivered selling value (CAD)","valeur de vente nette rendue (CAD)")</f>
        <v>net delivered selling value (CAD)</v>
      </c>
      <c r="C230" s="736"/>
      <c r="D230" s="736"/>
      <c r="E230" s="141"/>
      <c r="F230" s="141"/>
      <c r="G230" s="141"/>
      <c r="H230" s="141"/>
      <c r="I230" s="141"/>
      <c r="J230" s="141"/>
      <c r="K230" s="141"/>
      <c r="L230" s="142"/>
      <c r="M230" s="10"/>
    </row>
    <row r="231" spans="2:13" hidden="1" x14ac:dyDescent="0.3">
      <c r="B231" s="735" t="str">
        <f>"$ / "&amp;IF(Intro!$G$20="English",Variables!$B$24,Variables!$C$24)</f>
        <v>$ / tonne</v>
      </c>
      <c r="C231" s="736"/>
      <c r="D231" s="736"/>
      <c r="E231" s="289" t="str">
        <f t="shared" ref="E231:L231" si="40">IF(E229=0,"-",E230/E229)</f>
        <v>-</v>
      </c>
      <c r="F231" s="289" t="str">
        <f t="shared" si="40"/>
        <v>-</v>
      </c>
      <c r="G231" s="289" t="str">
        <f t="shared" si="40"/>
        <v>-</v>
      </c>
      <c r="H231" s="289" t="str">
        <f t="shared" si="40"/>
        <v>-</v>
      </c>
      <c r="I231" s="289" t="str">
        <f t="shared" si="40"/>
        <v>-</v>
      </c>
      <c r="J231" s="289" t="str">
        <f t="shared" si="40"/>
        <v>-</v>
      </c>
      <c r="K231" s="289" t="str">
        <f t="shared" si="40"/>
        <v>-</v>
      </c>
      <c r="L231" s="289" t="str">
        <f t="shared" si="40"/>
        <v>-</v>
      </c>
      <c r="M231" s="10"/>
    </row>
    <row r="232" spans="2:13" hidden="1" x14ac:dyDescent="0.3">
      <c r="B232" s="772" t="str">
        <f>B171</f>
        <v>BMP7</v>
      </c>
      <c r="C232" s="614"/>
      <c r="D232" s="614"/>
      <c r="E232" s="614"/>
      <c r="F232" s="614"/>
      <c r="G232" s="614"/>
      <c r="H232" s="614"/>
      <c r="I232" s="614"/>
      <c r="J232" s="614"/>
      <c r="K232" s="614"/>
      <c r="L232" s="773"/>
      <c r="M232" s="10"/>
    </row>
    <row r="233" spans="2:13" hidden="1" x14ac:dyDescent="0.3">
      <c r="B233" s="774"/>
      <c r="C233" s="620"/>
      <c r="D233" s="620"/>
      <c r="E233" s="620"/>
      <c r="F233" s="620"/>
      <c r="G233" s="620"/>
      <c r="H233" s="620"/>
      <c r="I233" s="620"/>
      <c r="J233" s="620"/>
      <c r="K233" s="620"/>
      <c r="L233" s="775"/>
      <c r="M233" s="10"/>
    </row>
    <row r="234" spans="2:13" hidden="1" x14ac:dyDescent="0.3">
      <c r="B234" s="735" t="str">
        <f>IF(Intro!$G$20="English",Variables!$B$23,Variables!$C$23)</f>
        <v>tonnes</v>
      </c>
      <c r="C234" s="736"/>
      <c r="D234" s="736"/>
      <c r="E234" s="141"/>
      <c r="F234" s="141"/>
      <c r="G234" s="141"/>
      <c r="H234" s="141"/>
      <c r="I234" s="141"/>
      <c r="J234" s="141"/>
      <c r="K234" s="141"/>
      <c r="L234" s="142"/>
      <c r="M234" s="10"/>
    </row>
    <row r="235" spans="2:13" hidden="1" x14ac:dyDescent="0.3">
      <c r="B235" s="735" t="str">
        <f>IF(Intro!G$20="English","net delivered selling value (CAD)","valeur de vente nette rendue (CAD)")</f>
        <v>net delivered selling value (CAD)</v>
      </c>
      <c r="C235" s="736"/>
      <c r="D235" s="736"/>
      <c r="E235" s="141"/>
      <c r="F235" s="141"/>
      <c r="G235" s="141"/>
      <c r="H235" s="141"/>
      <c r="I235" s="141"/>
      <c r="J235" s="141"/>
      <c r="K235" s="141"/>
      <c r="L235" s="142"/>
      <c r="M235" s="10"/>
    </row>
    <row r="236" spans="2:13" hidden="1" x14ac:dyDescent="0.3">
      <c r="B236" s="735" t="str">
        <f>"$ / "&amp;IF(Intro!$G$20="English",Variables!$B$24,Variables!$C$24)</f>
        <v>$ / tonne</v>
      </c>
      <c r="C236" s="736"/>
      <c r="D236" s="736"/>
      <c r="E236" s="289" t="str">
        <f t="shared" ref="E236:L236" si="41">IF(E234=0,"-",E235/E234)</f>
        <v>-</v>
      </c>
      <c r="F236" s="289" t="str">
        <f t="shared" si="41"/>
        <v>-</v>
      </c>
      <c r="G236" s="289" t="str">
        <f t="shared" si="41"/>
        <v>-</v>
      </c>
      <c r="H236" s="289" t="str">
        <f t="shared" si="41"/>
        <v>-</v>
      </c>
      <c r="I236" s="289" t="str">
        <f t="shared" si="41"/>
        <v>-</v>
      </c>
      <c r="J236" s="289" t="str">
        <f t="shared" si="41"/>
        <v>-</v>
      </c>
      <c r="K236" s="289" t="str">
        <f t="shared" si="41"/>
        <v>-</v>
      </c>
      <c r="L236" s="289" t="str">
        <f t="shared" si="41"/>
        <v>-</v>
      </c>
      <c r="M236" s="10"/>
    </row>
    <row r="237" spans="2:13" hidden="1" x14ac:dyDescent="0.3">
      <c r="B237" s="772" t="str">
        <f>B176</f>
        <v>BMP8</v>
      </c>
      <c r="C237" s="614"/>
      <c r="D237" s="614"/>
      <c r="E237" s="614"/>
      <c r="F237" s="614"/>
      <c r="G237" s="614"/>
      <c r="H237" s="614"/>
      <c r="I237" s="614"/>
      <c r="J237" s="614"/>
      <c r="K237" s="614"/>
      <c r="L237" s="773"/>
      <c r="M237" s="10"/>
    </row>
    <row r="238" spans="2:13" hidden="1" x14ac:dyDescent="0.3">
      <c r="B238" s="774"/>
      <c r="C238" s="620"/>
      <c r="D238" s="620"/>
      <c r="E238" s="620"/>
      <c r="F238" s="620"/>
      <c r="G238" s="620"/>
      <c r="H238" s="620"/>
      <c r="I238" s="620"/>
      <c r="J238" s="620"/>
      <c r="K238" s="620"/>
      <c r="L238" s="775"/>
      <c r="M238" s="10"/>
    </row>
    <row r="239" spans="2:13" hidden="1" x14ac:dyDescent="0.3">
      <c r="B239" s="735" t="str">
        <f>IF(Intro!$G$20="English",Variables!$B$23,Variables!$C$23)</f>
        <v>tonnes</v>
      </c>
      <c r="C239" s="736"/>
      <c r="D239" s="736"/>
      <c r="E239" s="141"/>
      <c r="F239" s="141"/>
      <c r="G239" s="141"/>
      <c r="H239" s="141"/>
      <c r="I239" s="141"/>
      <c r="J239" s="141"/>
      <c r="K239" s="141"/>
      <c r="L239" s="142"/>
      <c r="M239" s="10"/>
    </row>
    <row r="240" spans="2:13" hidden="1" x14ac:dyDescent="0.3">
      <c r="B240" s="735" t="str">
        <f>IF(Intro!G$20="English","net delivered selling value (CAD)","valeur de vente nette rendue (CAD)")</f>
        <v>net delivered selling value (CAD)</v>
      </c>
      <c r="C240" s="736"/>
      <c r="D240" s="736"/>
      <c r="E240" s="141"/>
      <c r="F240" s="141"/>
      <c r="G240" s="141"/>
      <c r="H240" s="141"/>
      <c r="I240" s="141"/>
      <c r="J240" s="141"/>
      <c r="K240" s="141"/>
      <c r="L240" s="142"/>
      <c r="M240" s="10"/>
    </row>
    <row r="241" spans="1:19" hidden="1" x14ac:dyDescent="0.3">
      <c r="B241" s="735" t="str">
        <f>"$ / "&amp;IF(Intro!$G$20="English",Variables!$B$24,Variables!$C$24)</f>
        <v>$ / tonne</v>
      </c>
      <c r="C241" s="736"/>
      <c r="D241" s="736"/>
      <c r="E241" s="289" t="str">
        <f t="shared" ref="E241:L241" si="42">IF(E239=0,"-",E240/E239)</f>
        <v>-</v>
      </c>
      <c r="F241" s="289" t="str">
        <f t="shared" si="42"/>
        <v>-</v>
      </c>
      <c r="G241" s="289" t="str">
        <f t="shared" si="42"/>
        <v>-</v>
      </c>
      <c r="H241" s="289" t="str">
        <f t="shared" si="42"/>
        <v>-</v>
      </c>
      <c r="I241" s="289" t="str">
        <f t="shared" si="42"/>
        <v>-</v>
      </c>
      <c r="J241" s="289" t="str">
        <f t="shared" si="42"/>
        <v>-</v>
      </c>
      <c r="K241" s="289" t="str">
        <f t="shared" si="42"/>
        <v>-</v>
      </c>
      <c r="L241" s="289" t="str">
        <f t="shared" si="42"/>
        <v>-</v>
      </c>
      <c r="M241" s="10"/>
    </row>
    <row r="242" spans="1:19" x14ac:dyDescent="0.3">
      <c r="B242" s="115"/>
      <c r="C242" s="116"/>
      <c r="D242" s="116"/>
      <c r="E242" s="29"/>
      <c r="F242" s="29"/>
      <c r="G242" s="29"/>
      <c r="H242" s="29"/>
      <c r="I242" s="29"/>
      <c r="J242" s="29"/>
      <c r="K242" s="29"/>
      <c r="L242" s="30"/>
      <c r="M242" s="10"/>
    </row>
    <row r="243" spans="1:19" x14ac:dyDescent="0.3">
      <c r="B243" s="500" t="str">
        <f>IF(Intro!$G$20="English",O243,P243)</f>
        <v>In the table below, “Error” means that the total sales of your firm's benchmark products exceed your firm's total import sales for that period. Therefore, please modify the above data if necessary.</v>
      </c>
      <c r="C243" s="501"/>
      <c r="D243" s="501"/>
      <c r="E243" s="501"/>
      <c r="F243" s="501"/>
      <c r="G243" s="501"/>
      <c r="H243" s="501"/>
      <c r="I243" s="501"/>
      <c r="J243" s="501"/>
      <c r="K243" s="501"/>
      <c r="L243" s="502"/>
      <c r="M243" s="10"/>
      <c r="O243" s="38" t="s">
        <v>368</v>
      </c>
      <c r="P243" s="38" t="s">
        <v>437</v>
      </c>
      <c r="Q243" s="38"/>
      <c r="R243" s="38"/>
      <c r="S243" s="38"/>
    </row>
    <row r="244" spans="1:19" x14ac:dyDescent="0.3">
      <c r="B244" s="500"/>
      <c r="C244" s="501"/>
      <c r="D244" s="501"/>
      <c r="E244" s="501"/>
      <c r="F244" s="501"/>
      <c r="G244" s="501"/>
      <c r="H244" s="501"/>
      <c r="I244" s="501"/>
      <c r="J244" s="501"/>
      <c r="K244" s="501"/>
      <c r="L244" s="502"/>
      <c r="M244" s="10"/>
      <c r="O244" s="38"/>
      <c r="P244" s="38"/>
      <c r="Q244" s="38"/>
      <c r="R244" s="38"/>
      <c r="S244" s="38"/>
    </row>
    <row r="245" spans="1:19" x14ac:dyDescent="0.3">
      <c r="B245" s="79"/>
      <c r="C245" s="80"/>
      <c r="D245" s="80"/>
      <c r="E245" s="29"/>
      <c r="F245" s="29"/>
      <c r="G245" s="29"/>
      <c r="H245" s="29"/>
      <c r="I245" s="29"/>
      <c r="J245" s="29"/>
      <c r="K245" s="29"/>
      <c r="L245" s="30"/>
      <c r="M245" s="10"/>
      <c r="O245" s="38"/>
      <c r="P245" s="38"/>
      <c r="Q245" s="38"/>
      <c r="R245" s="38"/>
      <c r="S245" s="38"/>
    </row>
    <row r="246" spans="1:19" ht="14.1" customHeight="1" x14ac:dyDescent="0.3">
      <c r="B246" s="763" t="str">
        <f>Variables!D62</f>
        <v>Verification - volume</v>
      </c>
      <c r="C246" s="764"/>
      <c r="D246" s="764"/>
      <c r="E246" s="764"/>
      <c r="F246" s="765"/>
      <c r="G246" s="221">
        <f>G185</f>
        <v>2024</v>
      </c>
      <c r="H246" s="221">
        <f>H185</f>
        <v>2025</v>
      </c>
      <c r="I246" s="221" t="str">
        <f>I185</f>
        <v>Q1 - 2026</v>
      </c>
      <c r="J246" s="291"/>
      <c r="K246" s="291"/>
      <c r="L246" s="292"/>
      <c r="M246" s="10"/>
      <c r="O246" s="18"/>
    </row>
    <row r="247" spans="1:19" ht="14.1" customHeight="1" x14ac:dyDescent="0.3">
      <c r="B247" s="760" t="str">
        <f>B204</f>
        <v>tonnes</v>
      </c>
      <c r="C247" s="761"/>
      <c r="D247" s="761"/>
      <c r="E247" s="761"/>
      <c r="F247" s="762"/>
      <c r="G247" s="232" t="str">
        <f>IF(SUM(E204:G204,E209:G209,E214:G214,E219:G219,E224:G224,E229:G229,E234:G234,E239:G239)&gt;SUM(H37,H69,H53),Variables!$D$63,Variables!$D$64)</f>
        <v>Okay</v>
      </c>
      <c r="H247" s="232" t="str">
        <f>IF(SUM(H204:K204,H209:K209,H214:K214,H219:K219,H224:K224,H229:K229,H234:K234,H239:K239)&gt;SUM(I37,I53,I69),Variables!$D$63,Variables!$D$64)</f>
        <v>Okay</v>
      </c>
      <c r="I247" s="232" t="str">
        <f>IF(SUM(L204,L209,L214,L219,L224,L229,L234,L239)&gt;SUM(K37,K53,K69),Variables!$D$63,Variables!$D$64)</f>
        <v>Okay</v>
      </c>
      <c r="J247" s="291"/>
      <c r="K247" s="291"/>
      <c r="L247" s="292"/>
      <c r="M247" s="10"/>
    </row>
    <row r="248" spans="1:19" ht="14.1" customHeight="1" x14ac:dyDescent="0.3">
      <c r="B248" s="783" t="str">
        <f>IF(Intro!$G$20="English",O248,P248)</f>
        <v>volume - total sales in Canada of imports of benchmark products (Question 4)</v>
      </c>
      <c r="C248" s="784"/>
      <c r="D248" s="784"/>
      <c r="E248" s="784"/>
      <c r="F248" s="785"/>
      <c r="G248" s="236">
        <f>(SUM(E204:G204,E209:G209,E214:G214,E219:G219,E224:G224,E229:G229,E234:G234,E239:G239))</f>
        <v>0</v>
      </c>
      <c r="H248" s="236">
        <f>SUM(H204:K204,H209:K209,H214:K214,H219:K219,H224:K224,H229:K229,H234:K234,H239:K239)</f>
        <v>0</v>
      </c>
      <c r="I248" s="236">
        <f>SUM(L204,L209,L214,L219,L224,L229,L234,L239)</f>
        <v>0</v>
      </c>
      <c r="J248" s="291"/>
      <c r="K248" s="291"/>
      <c r="L248" s="292"/>
      <c r="M248" s="10"/>
      <c r="O248" s="10" t="s">
        <v>506</v>
      </c>
      <c r="P248" s="10" t="s">
        <v>508</v>
      </c>
    </row>
    <row r="249" spans="1:19" ht="14.1" customHeight="1" x14ac:dyDescent="0.3">
      <c r="B249" s="783" t="str">
        <f>IF(Intro!$G$20="English",O249,P249)</f>
        <v>volume - total sales in Canada of imports (Question 1)</v>
      </c>
      <c r="C249" s="784"/>
      <c r="D249" s="784"/>
      <c r="E249" s="784"/>
      <c r="F249" s="785"/>
      <c r="G249" s="232">
        <f>H37</f>
        <v>0</v>
      </c>
      <c r="H249" s="232">
        <f>I37</f>
        <v>0</v>
      </c>
      <c r="I249" s="232">
        <f>K37</f>
        <v>0</v>
      </c>
      <c r="J249" s="291"/>
      <c r="K249" s="291"/>
      <c r="L249" s="292"/>
      <c r="M249" s="10"/>
      <c r="O249" s="10" t="s">
        <v>499</v>
      </c>
      <c r="P249" s="10" t="s">
        <v>501</v>
      </c>
    </row>
    <row r="250" spans="1:19" x14ac:dyDescent="0.3">
      <c r="B250" s="763" t="str">
        <f>Variables!D66</f>
        <v>Verification - value</v>
      </c>
      <c r="C250" s="764"/>
      <c r="D250" s="764"/>
      <c r="E250" s="764"/>
      <c r="F250" s="765"/>
      <c r="G250" s="221">
        <f>G246</f>
        <v>2024</v>
      </c>
      <c r="H250" s="221">
        <f t="shared" ref="H250:I250" si="43">H246</f>
        <v>2025</v>
      </c>
      <c r="I250" s="221" t="str">
        <f t="shared" si="43"/>
        <v>Q1 - 2026</v>
      </c>
      <c r="J250" s="291"/>
      <c r="K250" s="291"/>
      <c r="L250" s="292"/>
      <c r="M250" s="10"/>
    </row>
    <row r="251" spans="1:19" ht="14.1" customHeight="1" x14ac:dyDescent="0.3">
      <c r="B251" s="760" t="str">
        <f>B205</f>
        <v>net delivered selling value (CAD)</v>
      </c>
      <c r="C251" s="761"/>
      <c r="D251" s="761"/>
      <c r="E251" s="761"/>
      <c r="F251" s="762"/>
      <c r="G251" s="232" t="str">
        <f>IF(SUM(E205:G205,E210:G210,E215:G215,E220:G220,E225:G225,E230:G230,E235:G235,E240:G240)&gt;SUM(H38,H54,H70),Variables!$D$63,Variables!$D$64)</f>
        <v>Okay</v>
      </c>
      <c r="H251" s="232" t="str">
        <f>IF(SUM(H205:K205,H210:K210,H215:K215,H220:K220,H225:K225,H230:K230,H235:K235,H240:K240)&gt;SUM(I38,I54,I70),Variables!$D$63,Variables!$D$64)</f>
        <v>Okay</v>
      </c>
      <c r="I251" s="232" t="str">
        <f>IF(SUM(L205,L210,L215,L220,L225,L230,L235,L240)&gt;SUM(K38,K54,K70),Variables!$D$63,Variables!$D$64)</f>
        <v>Okay</v>
      </c>
      <c r="J251" s="291"/>
      <c r="K251" s="291"/>
      <c r="L251" s="292"/>
      <c r="M251" s="10"/>
    </row>
    <row r="252" spans="1:19" ht="14.1" customHeight="1" x14ac:dyDescent="0.3">
      <c r="B252" s="783" t="str">
        <f>IF(Intro!$G$20="English",O252,P252)</f>
        <v>value - total sales in Canada of imports of benchmark products (Question 4)</v>
      </c>
      <c r="C252" s="784"/>
      <c r="D252" s="784"/>
      <c r="E252" s="784"/>
      <c r="F252" s="785"/>
      <c r="G252" s="236">
        <f>SUM(E205:G205,E210:G210,E215:G215,E220:G220,E225:G225,E230:G230,E235:G235,E240:G240)</f>
        <v>0</v>
      </c>
      <c r="H252" s="236">
        <f>SUM(H205:K205,H210:K210,H215:K215,H220:K220,H225:K225,H230:K230,H235:K235,H240:K240)</f>
        <v>0</v>
      </c>
      <c r="I252" s="236">
        <f>SUM(L205,L210,L215,L220,L225,L230,L235,L240)</f>
        <v>0</v>
      </c>
      <c r="J252" s="291"/>
      <c r="K252" s="291"/>
      <c r="L252" s="292"/>
      <c r="M252" s="10"/>
      <c r="O252" s="10" t="s">
        <v>507</v>
      </c>
      <c r="P252" s="10" t="s">
        <v>509</v>
      </c>
    </row>
    <row r="253" spans="1:19" ht="14.1" customHeight="1" x14ac:dyDescent="0.3">
      <c r="B253" s="783" t="str">
        <f>IF(Intro!$G$20="English",O253,P253)</f>
        <v>value - total sales in Canada of imports (Question 1)</v>
      </c>
      <c r="C253" s="784"/>
      <c r="D253" s="784"/>
      <c r="E253" s="784"/>
      <c r="F253" s="785"/>
      <c r="G253" s="232">
        <f>H38</f>
        <v>0</v>
      </c>
      <c r="H253" s="232">
        <f>I38</f>
        <v>0</v>
      </c>
      <c r="I253" s="232">
        <f>K38</f>
        <v>0</v>
      </c>
      <c r="J253" s="291"/>
      <c r="K253" s="291"/>
      <c r="L253" s="292"/>
      <c r="M253" s="10"/>
      <c r="O253" s="10" t="s">
        <v>505</v>
      </c>
      <c r="P253" s="10" t="s">
        <v>503</v>
      </c>
    </row>
    <row r="254" spans="1:19" x14ac:dyDescent="0.3">
      <c r="B254" s="72"/>
      <c r="C254" s="84"/>
      <c r="D254" s="84"/>
      <c r="E254" s="84"/>
      <c r="F254" s="84"/>
      <c r="G254" s="84"/>
      <c r="H254" s="84"/>
      <c r="I254" s="84"/>
      <c r="J254" s="84"/>
      <c r="K254" s="84"/>
      <c r="L254" s="85"/>
      <c r="M254" s="10"/>
    </row>
    <row r="255" spans="1:19" s="44" customFormat="1" x14ac:dyDescent="0.3">
      <c r="A255" s="93"/>
      <c r="B255" s="4"/>
      <c r="C255" s="77"/>
      <c r="D255" s="77"/>
      <c r="E255" s="77"/>
      <c r="F255" s="77"/>
      <c r="G255" s="77"/>
      <c r="H255" s="77"/>
      <c r="I255" s="77"/>
      <c r="J255" s="77"/>
      <c r="K255" s="77"/>
      <c r="L255" s="77"/>
      <c r="N255" s="78"/>
    </row>
    <row r="256" spans="1:19" x14ac:dyDescent="0.3">
      <c r="B256" s="506" t="str">
        <f>UPPER(IF(Intro!$G$20="English",O256,P256))</f>
        <v>IMPORT DATA FOR CBSA PERIOD OF DUMPING INVESTIGATION</v>
      </c>
      <c r="C256" s="507"/>
      <c r="D256" s="507"/>
      <c r="E256" s="507"/>
      <c r="F256" s="507"/>
      <c r="G256" s="507"/>
      <c r="H256" s="507"/>
      <c r="I256" s="507"/>
      <c r="J256" s="507"/>
      <c r="K256" s="507"/>
      <c r="L256" s="508"/>
      <c r="M256" s="10"/>
      <c r="O256" s="107" t="s">
        <v>336</v>
      </c>
      <c r="P256" s="107" t="s">
        <v>337</v>
      </c>
    </row>
    <row r="257" spans="1:17" s="11" customFormat="1" x14ac:dyDescent="0.3">
      <c r="A257" s="7"/>
      <c r="B257" s="647" t="s">
        <v>18</v>
      </c>
      <c r="C257" s="648"/>
      <c r="D257" s="648"/>
      <c r="E257" s="648"/>
      <c r="F257" s="648"/>
      <c r="G257" s="648"/>
      <c r="H257" s="648"/>
      <c r="I257" s="648"/>
      <c r="J257" s="648"/>
      <c r="K257" s="648"/>
      <c r="L257" s="649"/>
      <c r="M257" s="73"/>
      <c r="O257" s="10"/>
    </row>
    <row r="258" spans="1:17" x14ac:dyDescent="0.3">
      <c r="B258" s="16"/>
      <c r="C258" s="35"/>
      <c r="D258" s="35"/>
      <c r="E258" s="36"/>
      <c r="F258" s="36"/>
      <c r="G258" s="36"/>
      <c r="H258" s="36"/>
      <c r="I258" s="36"/>
      <c r="J258" s="36"/>
      <c r="K258" s="36"/>
      <c r="L258" s="17"/>
      <c r="M258" s="10"/>
    </row>
    <row r="259" spans="1:17" x14ac:dyDescent="0.3">
      <c r="B259" s="503" t="str">
        <f>IF(Intro!$G$20="English",O259,P259)</f>
        <v xml:space="preserve">Report the volume and value of imports during CBSA's period of dumping investigation : </v>
      </c>
      <c r="C259" s="504"/>
      <c r="D259" s="504"/>
      <c r="E259" s="504"/>
      <c r="F259" s="504"/>
      <c r="G259" s="504"/>
      <c r="H259" s="504"/>
      <c r="I259" s="504"/>
      <c r="J259" s="504"/>
      <c r="K259" s="504"/>
      <c r="L259" s="505"/>
      <c r="M259" s="10"/>
      <c r="O259" s="18" t="s">
        <v>198</v>
      </c>
      <c r="P259" s="10" t="s">
        <v>199</v>
      </c>
    </row>
    <row r="260" spans="1:17" x14ac:dyDescent="0.3">
      <c r="B260" s="79"/>
      <c r="C260" s="35"/>
      <c r="D260" s="35"/>
      <c r="E260" s="36"/>
      <c r="F260" s="36"/>
      <c r="G260" s="36"/>
      <c r="H260" s="36"/>
      <c r="I260" s="36"/>
      <c r="J260" s="36"/>
      <c r="K260" s="36"/>
      <c r="L260" s="17"/>
      <c r="M260" s="10"/>
      <c r="O260" s="18"/>
    </row>
    <row r="261" spans="1:17" ht="14.4" customHeight="1" x14ac:dyDescent="0.3">
      <c r="B261" s="48"/>
      <c r="C261" s="45"/>
      <c r="D261" s="35"/>
      <c r="E261" s="10"/>
      <c r="F261" s="796" t="str">
        <f>IF(Intro!$G$20="English",Variables!B39,Variables!C39)</f>
        <v>October 1, 2024 - September 30, 2025</v>
      </c>
      <c r="G261" s="796"/>
      <c r="H261" s="796"/>
      <c r="I261" s="291"/>
      <c r="J261" s="291"/>
      <c r="K261" s="291"/>
      <c r="L261" s="292"/>
      <c r="M261" s="10"/>
      <c r="O261" s="47"/>
      <c r="P261" s="9"/>
    </row>
    <row r="262" spans="1:17" x14ac:dyDescent="0.3">
      <c r="B262" s="540" t="str">
        <f>B27</f>
        <v>Imports</v>
      </c>
      <c r="C262" s="736" t="str">
        <f>IF(Intro!$G$20="English",Variables!$B$23,Variables!$C$23)</f>
        <v>tonnes</v>
      </c>
      <c r="D262" s="736"/>
      <c r="E262" s="782"/>
      <c r="F262" s="795"/>
      <c r="G262" s="795"/>
      <c r="H262" s="795"/>
      <c r="I262" s="291"/>
      <c r="J262" s="291"/>
      <c r="K262" s="291"/>
      <c r="L262" s="292"/>
      <c r="M262" s="10"/>
    </row>
    <row r="263" spans="1:17" x14ac:dyDescent="0.3">
      <c r="B263" s="540"/>
      <c r="C263" s="736" t="str">
        <f>IF(Intro!G$20="English","net delivered purchase value (CAD)","valeur d'achat nette rendue (CAD)")</f>
        <v>net delivered purchase value (CAD)</v>
      </c>
      <c r="D263" s="736"/>
      <c r="E263" s="782"/>
      <c r="F263" s="795"/>
      <c r="G263" s="795"/>
      <c r="H263" s="795"/>
      <c r="I263" s="291"/>
      <c r="J263" s="291"/>
      <c r="K263" s="291"/>
      <c r="L263" s="292"/>
      <c r="M263" s="10"/>
    </row>
    <row r="264" spans="1:17" x14ac:dyDescent="0.3">
      <c r="B264" s="540"/>
      <c r="C264" s="736" t="str">
        <f>"$ / "&amp;IF(Intro!$G$20="English",Variables!$B$24,Variables!$C$24)</f>
        <v>$ / tonne</v>
      </c>
      <c r="D264" s="736"/>
      <c r="E264" s="782"/>
      <c r="F264" s="794" t="str">
        <f>IF(F262=0,"-",F263/F262)</f>
        <v>-</v>
      </c>
      <c r="G264" s="794"/>
      <c r="H264" s="794"/>
      <c r="I264" s="291"/>
      <c r="J264" s="291"/>
      <c r="K264" s="291"/>
      <c r="L264" s="292"/>
      <c r="M264" s="10"/>
    </row>
    <row r="265" spans="1:17" x14ac:dyDescent="0.3">
      <c r="B265" s="46"/>
      <c r="C265" s="117"/>
      <c r="D265" s="82"/>
      <c r="E265" s="34"/>
      <c r="F265" s="34"/>
      <c r="G265" s="34"/>
      <c r="H265" s="34"/>
      <c r="I265" s="34"/>
      <c r="J265" s="34"/>
      <c r="K265" s="34"/>
      <c r="L265" s="37"/>
      <c r="M265" s="10"/>
    </row>
    <row r="266" spans="1:17" s="44" customFormat="1" x14ac:dyDescent="0.3">
      <c r="A266" s="93"/>
      <c r="B266" s="4"/>
      <c r="C266" s="77"/>
      <c r="D266" s="77"/>
      <c r="E266" s="77"/>
      <c r="F266" s="77"/>
      <c r="G266" s="77"/>
      <c r="H266" s="77"/>
      <c r="I266" s="77"/>
      <c r="J266" s="77"/>
      <c r="K266" s="77"/>
      <c r="L266" s="77"/>
      <c r="N266" s="78"/>
    </row>
    <row r="267" spans="1:17" x14ac:dyDescent="0.3">
      <c r="B267" s="506" t="str">
        <f>IF(Intro!$G$20="English",O267,P267)</f>
        <v>IMPORT DATA FOR MASSIVE IMPORTATION ANALYSIS</v>
      </c>
      <c r="C267" s="507"/>
      <c r="D267" s="507"/>
      <c r="E267" s="507"/>
      <c r="F267" s="507"/>
      <c r="G267" s="507"/>
      <c r="H267" s="507"/>
      <c r="I267" s="507"/>
      <c r="J267" s="507"/>
      <c r="K267" s="507"/>
      <c r="L267" s="508"/>
      <c r="M267" s="159"/>
      <c r="O267" s="107" t="s">
        <v>338</v>
      </c>
      <c r="P267" s="107" t="s">
        <v>438</v>
      </c>
    </row>
    <row r="268" spans="1:17" s="11" customFormat="1" x14ac:dyDescent="0.3">
      <c r="A268" s="7"/>
      <c r="B268" s="647" t="s">
        <v>19</v>
      </c>
      <c r="C268" s="648"/>
      <c r="D268" s="648"/>
      <c r="E268" s="648"/>
      <c r="F268" s="648"/>
      <c r="G268" s="648"/>
      <c r="H268" s="648"/>
      <c r="I268" s="648"/>
      <c r="J268" s="648"/>
      <c r="K268" s="648"/>
      <c r="L268" s="649"/>
      <c r="M268" s="160"/>
      <c r="N268" s="220"/>
      <c r="O268" s="10"/>
      <c r="P268" s="220"/>
      <c r="Q268" s="220"/>
    </row>
    <row r="269" spans="1:17" x14ac:dyDescent="0.3">
      <c r="B269" s="16"/>
      <c r="C269" s="35"/>
      <c r="D269" s="35"/>
      <c r="E269" s="36"/>
      <c r="F269" s="36"/>
      <c r="G269" s="36"/>
      <c r="H269" s="36"/>
      <c r="I269" s="36"/>
      <c r="J269" s="36"/>
      <c r="K269" s="36"/>
      <c r="L269" s="17"/>
      <c r="M269" s="160"/>
    </row>
    <row r="270" spans="1:17" ht="14.1" customHeight="1" x14ac:dyDescent="0.3">
      <c r="B270" s="503" t="str">
        <f>IF(Intro!$G$20="English",O270,P270)</f>
        <v>Report the volume of imports and the ending inventory in Canada of the goods imported from Other Countries.</v>
      </c>
      <c r="C270" s="504"/>
      <c r="D270" s="504"/>
      <c r="E270" s="504"/>
      <c r="F270" s="504"/>
      <c r="G270" s="504"/>
      <c r="H270" s="504"/>
      <c r="I270" s="504"/>
      <c r="J270" s="504"/>
      <c r="K270" s="504"/>
      <c r="L270" s="505"/>
      <c r="M270" s="159"/>
      <c r="O270" s="18" t="s">
        <v>531</v>
      </c>
      <c r="P270" s="10" t="s">
        <v>532</v>
      </c>
    </row>
    <row r="271" spans="1:17" x14ac:dyDescent="0.3">
      <c r="B271" s="218"/>
      <c r="C271" s="35"/>
      <c r="D271" s="35"/>
      <c r="E271" s="36"/>
      <c r="F271" s="36"/>
      <c r="G271" s="36"/>
      <c r="H271" s="36"/>
      <c r="I271" s="36"/>
      <c r="J271" s="36"/>
      <c r="K271" s="36"/>
      <c r="L271" s="17"/>
      <c r="M271" s="10"/>
      <c r="O271" s="18"/>
    </row>
    <row r="272" spans="1:17" x14ac:dyDescent="0.3">
      <c r="B272" s="218"/>
      <c r="C272" s="219"/>
      <c r="D272" s="35"/>
      <c r="E272" s="223" t="str">
        <f>H201</f>
        <v>Q1 - 2025</v>
      </c>
      <c r="F272" s="279" t="str">
        <f>I201</f>
        <v>Q2 - 2025</v>
      </c>
      <c r="G272" s="279" t="str">
        <f>J201</f>
        <v>Q3 - 2025</v>
      </c>
      <c r="H272" s="279" t="str">
        <f>K201</f>
        <v>Q4 - 2025</v>
      </c>
      <c r="I272" s="490" t="str">
        <f>L201</f>
        <v>Q1 - 2026</v>
      </c>
      <c r="J272" s="36"/>
      <c r="K272" s="36"/>
      <c r="L272" s="17"/>
      <c r="M272" s="10"/>
      <c r="O272" s="18"/>
    </row>
    <row r="273" spans="1:17" x14ac:dyDescent="0.3">
      <c r="B273" s="750" t="str">
        <f>B27</f>
        <v>Imports</v>
      </c>
      <c r="C273" s="751"/>
      <c r="D273" s="225" t="str">
        <f>IF(Intro!$G$20="English",Variables!$B$23,Variables!$C$23)</f>
        <v>tonnes</v>
      </c>
      <c r="E273" s="227"/>
      <c r="F273" s="227"/>
      <c r="G273" s="227"/>
      <c r="H273" s="227"/>
      <c r="I273" s="227"/>
      <c r="J273" s="36"/>
      <c r="K273" s="36"/>
      <c r="L273" s="17"/>
      <c r="M273" s="10"/>
    </row>
    <row r="274" spans="1:17" ht="14.1" customHeight="1" x14ac:dyDescent="0.3">
      <c r="B274" s="750" t="str">
        <f>IF(Intro!$G$20="English",O274,P274)</f>
        <v>Ending Inventories</v>
      </c>
      <c r="C274" s="751"/>
      <c r="D274" s="225" t="str">
        <f>IF(Intro!$G$20="English",Variables!$B$23,Variables!$C$23)</f>
        <v>tonnes</v>
      </c>
      <c r="E274" s="227"/>
      <c r="F274" s="227"/>
      <c r="G274" s="227"/>
      <c r="H274" s="227"/>
      <c r="I274" s="227"/>
      <c r="J274" s="36"/>
      <c r="K274" s="36"/>
      <c r="L274" s="17"/>
      <c r="M274" s="10"/>
      <c r="O274" s="10" t="s">
        <v>194</v>
      </c>
      <c r="P274" s="10" t="s">
        <v>439</v>
      </c>
    </row>
    <row r="275" spans="1:17" x14ac:dyDescent="0.3">
      <c r="B275" s="273"/>
      <c r="C275" s="35"/>
      <c r="D275" s="35"/>
      <c r="E275" s="36"/>
      <c r="F275" s="36"/>
      <c r="G275" s="36"/>
      <c r="H275" s="36"/>
      <c r="I275" s="36"/>
      <c r="J275" s="36"/>
      <c r="K275" s="36"/>
      <c r="L275" s="17"/>
      <c r="M275" s="10"/>
      <c r="O275" s="18"/>
    </row>
    <row r="276" spans="1:17" x14ac:dyDescent="0.3">
      <c r="B276" s="273"/>
      <c r="C276" s="274"/>
      <c r="D276" s="35"/>
      <c r="E276" s="294">
        <f>Variables!B45</f>
        <v>45748</v>
      </c>
      <c r="F276" s="36"/>
      <c r="G276" s="294">
        <f>Variables!C45</f>
        <v>45901</v>
      </c>
      <c r="H276" s="36"/>
      <c r="I276" s="294">
        <f>Variables!D45</f>
        <v>46113</v>
      </c>
      <c r="K276" s="36"/>
      <c r="L276" s="17"/>
      <c r="M276" s="10"/>
      <c r="O276" s="18"/>
    </row>
    <row r="277" spans="1:17" x14ac:dyDescent="0.3">
      <c r="B277" s="750" t="str">
        <f>B273</f>
        <v>Imports</v>
      </c>
      <c r="C277" s="751"/>
      <c r="D277" s="281" t="str">
        <f>D273</f>
        <v>tonnes</v>
      </c>
      <c r="E277" s="227"/>
      <c r="F277" s="36"/>
      <c r="G277" s="227"/>
      <c r="H277" s="36"/>
      <c r="I277" s="227"/>
      <c r="K277" s="36"/>
      <c r="L277" s="17"/>
      <c r="M277" s="10"/>
    </row>
    <row r="278" spans="1:17" ht="14.1" customHeight="1" x14ac:dyDescent="0.3">
      <c r="B278" s="750" t="str">
        <f>IF(Intro!$G$20="English",O278,P278)</f>
        <v>Ending Inventories</v>
      </c>
      <c r="C278" s="751"/>
      <c r="D278" s="281" t="str">
        <f>D274</f>
        <v>tonnes</v>
      </c>
      <c r="E278" s="227"/>
      <c r="F278" s="36"/>
      <c r="G278" s="227"/>
      <c r="H278" s="36"/>
      <c r="I278" s="227"/>
      <c r="K278" s="36"/>
      <c r="L278" s="17"/>
      <c r="M278" s="10"/>
      <c r="O278" s="10" t="s">
        <v>194</v>
      </c>
      <c r="P278" s="10" t="s">
        <v>439</v>
      </c>
    </row>
    <row r="279" spans="1:17" x14ac:dyDescent="0.3">
      <c r="B279" s="218"/>
      <c r="C279" s="219"/>
      <c r="D279" s="219"/>
      <c r="E279" s="29"/>
      <c r="F279" s="29"/>
      <c r="G279" s="29"/>
      <c r="H279" s="29"/>
      <c r="I279" s="36"/>
      <c r="J279" s="29"/>
      <c r="K279" s="29"/>
      <c r="L279" s="30"/>
      <c r="M279" s="10"/>
    </row>
    <row r="280" spans="1:17" x14ac:dyDescent="0.3">
      <c r="B280" s="500" t="str">
        <f>IF(Intro!$G$20="English",O280,P280)</f>
        <v>In the table below, “Error” means that the sum of the quarterly imports reported above exceeds the annual imports reported in Question 1. Therefore, please modify the data if necessary.</v>
      </c>
      <c r="C280" s="501"/>
      <c r="D280" s="501"/>
      <c r="E280" s="501"/>
      <c r="F280" s="501"/>
      <c r="G280" s="501"/>
      <c r="H280" s="501"/>
      <c r="I280" s="501"/>
      <c r="J280" s="501"/>
      <c r="K280" s="501"/>
      <c r="L280" s="502"/>
      <c r="M280" s="10"/>
      <c r="O280" s="10" t="s">
        <v>516</v>
      </c>
      <c r="P280" s="10" t="s">
        <v>517</v>
      </c>
    </row>
    <row r="281" spans="1:17" x14ac:dyDescent="0.3">
      <c r="B281" s="500"/>
      <c r="C281" s="501"/>
      <c r="D281" s="501"/>
      <c r="E281" s="501"/>
      <c r="F281" s="501"/>
      <c r="G281" s="501"/>
      <c r="H281" s="501"/>
      <c r="I281" s="501"/>
      <c r="J281" s="501"/>
      <c r="K281" s="501"/>
      <c r="L281" s="502"/>
      <c r="M281" s="10"/>
    </row>
    <row r="282" spans="1:17" ht="14.1" customHeight="1" x14ac:dyDescent="0.3">
      <c r="B282" s="215"/>
      <c r="C282" s="216"/>
      <c r="D282" s="216"/>
      <c r="E282" s="216"/>
      <c r="F282" s="216"/>
      <c r="G282" s="216"/>
      <c r="H282" s="216"/>
      <c r="I282" s="216"/>
      <c r="J282" s="216"/>
      <c r="K282" s="216"/>
      <c r="L282" s="217"/>
      <c r="M282" s="10"/>
    </row>
    <row r="283" spans="1:17" ht="14.1" customHeight="1" x14ac:dyDescent="0.3">
      <c r="B283" s="237"/>
      <c r="C283" s="224"/>
      <c r="D283" s="238"/>
      <c r="E283" s="45"/>
      <c r="F283" s="221">
        <f>G283-1</f>
        <v>2025</v>
      </c>
      <c r="G283" s="221">
        <f>Variables!B8</f>
        <v>2026</v>
      </c>
      <c r="H283" s="295"/>
      <c r="I283" s="291"/>
      <c r="J283" s="291"/>
      <c r="K283" s="291"/>
      <c r="L283" s="296"/>
      <c r="M283" s="10"/>
      <c r="O283" s="18"/>
    </row>
    <row r="284" spans="1:17" s="38" customFormat="1" x14ac:dyDescent="0.3">
      <c r="A284" s="49"/>
      <c r="B284" s="237"/>
      <c r="C284" s="243"/>
      <c r="D284" s="786" t="str">
        <f>B246</f>
        <v>Verification - volume</v>
      </c>
      <c r="E284" s="787"/>
      <c r="F284" s="232" t="str">
        <f>IF(SUM(E273:H273)&gt;SUM(I43,I59,I27),Variables!$D$63,Variables!$D$64)</f>
        <v>Okay</v>
      </c>
      <c r="G284" s="232" t="str">
        <f>IF(SUM(I273)&gt;SUM(K27,K43,K59),Variables!$D$63,Variables!$D$64)</f>
        <v>Okay</v>
      </c>
      <c r="H284" s="295"/>
      <c r="I284" s="291"/>
      <c r="J284" s="291"/>
      <c r="K284" s="291"/>
      <c r="L284" s="296"/>
      <c r="M284" s="10"/>
      <c r="N284" s="10"/>
      <c r="O284" s="10"/>
      <c r="P284" s="10"/>
      <c r="Q284" s="10"/>
    </row>
    <row r="285" spans="1:17" s="220" customFormat="1" x14ac:dyDescent="0.3">
      <c r="A285" s="7"/>
      <c r="B285" s="239"/>
      <c r="C285" s="240"/>
      <c r="D285" s="241"/>
      <c r="E285" s="241"/>
      <c r="F285" s="241"/>
      <c r="G285" s="241"/>
      <c r="H285" s="241"/>
      <c r="I285" s="241"/>
      <c r="J285" s="241"/>
      <c r="K285" s="241"/>
      <c r="L285" s="242"/>
      <c r="M285" s="44"/>
      <c r="N285" s="78"/>
      <c r="O285" s="44"/>
      <c r="P285" s="44"/>
      <c r="Q285" s="44"/>
    </row>
    <row r="286" spans="1:17" s="38" customFormat="1" x14ac:dyDescent="0.3">
      <c r="A286" s="49"/>
      <c r="B286" s="650" t="s">
        <v>20</v>
      </c>
      <c r="C286" s="651"/>
      <c r="D286" s="651"/>
      <c r="E286" s="651"/>
      <c r="F286" s="651"/>
      <c r="G286" s="651"/>
      <c r="H286" s="651"/>
      <c r="I286" s="651"/>
      <c r="J286" s="651"/>
      <c r="K286" s="651"/>
      <c r="L286" s="652"/>
      <c r="M286" s="73"/>
      <c r="N286" s="220"/>
      <c r="O286" s="220"/>
      <c r="P286" s="220"/>
      <c r="Q286" s="220"/>
    </row>
    <row r="287" spans="1:17" s="38" customFormat="1" ht="14.1" customHeight="1" x14ac:dyDescent="0.3">
      <c r="A287" s="49"/>
      <c r="B287" s="53"/>
      <c r="C287" s="94"/>
      <c r="D287" s="94"/>
      <c r="E287" s="94"/>
      <c r="F287" s="94"/>
      <c r="G287" s="94"/>
      <c r="H287" s="94"/>
      <c r="I287" s="94"/>
      <c r="J287" s="94"/>
      <c r="K287" s="94"/>
      <c r="L287" s="54"/>
    </row>
    <row r="288" spans="1:17" s="38" customFormat="1" x14ac:dyDescent="0.3">
      <c r="A288" s="49"/>
      <c r="B288" s="500" t="str">
        <f>IF(Intro!$G$20="English",O288,P288)</f>
        <v xml:space="preserve">Describe any factors (for example, shipping delays, seasonality, etc.) which would explain the overall trend in your firm's quarterly import volumes and ending inventories, as reported in Question 5. </v>
      </c>
      <c r="C288" s="501"/>
      <c r="D288" s="501"/>
      <c r="E288" s="501"/>
      <c r="F288" s="501"/>
      <c r="G288" s="501"/>
      <c r="H288" s="501"/>
      <c r="I288" s="501"/>
      <c r="J288" s="501"/>
      <c r="K288" s="501"/>
      <c r="L288" s="502"/>
      <c r="O288" s="38" t="s">
        <v>212</v>
      </c>
      <c r="P288" s="38" t="s">
        <v>213</v>
      </c>
    </row>
    <row r="289" spans="1:17" s="38" customFormat="1" x14ac:dyDescent="0.3">
      <c r="A289" s="49"/>
      <c r="B289" s="500"/>
      <c r="C289" s="501"/>
      <c r="D289" s="501"/>
      <c r="E289" s="501"/>
      <c r="F289" s="501"/>
      <c r="G289" s="501"/>
      <c r="H289" s="501"/>
      <c r="I289" s="501"/>
      <c r="J289" s="501"/>
      <c r="K289" s="501"/>
      <c r="L289" s="502"/>
    </row>
    <row r="290" spans="1:17" s="11" customFormat="1" x14ac:dyDescent="0.3">
      <c r="A290" s="8"/>
      <c r="B290" s="53"/>
      <c r="C290" s="94"/>
      <c r="D290" s="94"/>
      <c r="E290" s="94"/>
      <c r="F290" s="94"/>
      <c r="G290" s="94"/>
      <c r="H290" s="94"/>
      <c r="I290" s="94"/>
      <c r="J290" s="94"/>
      <c r="K290" s="94"/>
      <c r="L290" s="54"/>
      <c r="M290" s="38"/>
      <c r="N290" s="38"/>
      <c r="O290" s="38"/>
      <c r="P290" s="38"/>
      <c r="Q290" s="38"/>
    </row>
    <row r="291" spans="1:17" s="11" customFormat="1" x14ac:dyDescent="0.3">
      <c r="A291" s="8"/>
      <c r="B291" s="639"/>
      <c r="C291" s="640"/>
      <c r="D291" s="640"/>
      <c r="E291" s="640"/>
      <c r="F291" s="640"/>
      <c r="G291" s="640"/>
      <c r="H291" s="640"/>
      <c r="I291" s="640"/>
      <c r="J291" s="640"/>
      <c r="K291" s="640"/>
      <c r="L291" s="641"/>
      <c r="M291" s="38"/>
      <c r="N291" s="220"/>
      <c r="O291" s="220"/>
      <c r="P291" s="220"/>
      <c r="Q291" s="220"/>
    </row>
    <row r="292" spans="1:17" s="11" customFormat="1" x14ac:dyDescent="0.3">
      <c r="A292" s="8"/>
      <c r="B292" s="639"/>
      <c r="C292" s="640"/>
      <c r="D292" s="640"/>
      <c r="E292" s="640"/>
      <c r="F292" s="640"/>
      <c r="G292" s="640"/>
      <c r="H292" s="640"/>
      <c r="I292" s="640"/>
      <c r="J292" s="640"/>
      <c r="K292" s="640"/>
      <c r="L292" s="641"/>
      <c r="M292" s="38"/>
      <c r="N292" s="220"/>
      <c r="O292" s="220"/>
      <c r="P292" s="220"/>
      <c r="Q292" s="220"/>
    </row>
    <row r="293" spans="1:17" s="11" customFormat="1" x14ac:dyDescent="0.3">
      <c r="A293" s="8"/>
      <c r="B293" s="639"/>
      <c r="C293" s="640"/>
      <c r="D293" s="640"/>
      <c r="E293" s="640"/>
      <c r="F293" s="640"/>
      <c r="G293" s="640"/>
      <c r="H293" s="640"/>
      <c r="I293" s="640"/>
      <c r="J293" s="640"/>
      <c r="K293" s="640"/>
      <c r="L293" s="641"/>
      <c r="M293" s="38"/>
      <c r="N293" s="220"/>
      <c r="O293" s="220"/>
      <c r="P293" s="220"/>
      <c r="Q293" s="220"/>
    </row>
    <row r="294" spans="1:17" s="11" customFormat="1" x14ac:dyDescent="0.3">
      <c r="A294" s="8"/>
      <c r="B294" s="639"/>
      <c r="C294" s="640"/>
      <c r="D294" s="640"/>
      <c r="E294" s="640"/>
      <c r="F294" s="640"/>
      <c r="G294" s="640"/>
      <c r="H294" s="640"/>
      <c r="I294" s="640"/>
      <c r="J294" s="640"/>
      <c r="K294" s="640"/>
      <c r="L294" s="641"/>
      <c r="M294" s="38"/>
      <c r="N294" s="220"/>
      <c r="O294" s="220"/>
      <c r="P294" s="220"/>
      <c r="Q294" s="220"/>
    </row>
    <row r="295" spans="1:17" s="11" customFormat="1" x14ac:dyDescent="0.3">
      <c r="A295" s="8"/>
      <c r="B295" s="639"/>
      <c r="C295" s="640"/>
      <c r="D295" s="640"/>
      <c r="E295" s="640"/>
      <c r="F295" s="640"/>
      <c r="G295" s="640"/>
      <c r="H295" s="640"/>
      <c r="I295" s="640"/>
      <c r="J295" s="640"/>
      <c r="K295" s="640"/>
      <c r="L295" s="641"/>
      <c r="M295" s="38"/>
      <c r="N295" s="220"/>
      <c r="O295" s="220"/>
      <c r="P295" s="220"/>
      <c r="Q295" s="220"/>
    </row>
    <row r="296" spans="1:17" s="11" customFormat="1" x14ac:dyDescent="0.3">
      <c r="A296" s="8"/>
      <c r="B296" s="639"/>
      <c r="C296" s="640"/>
      <c r="D296" s="640"/>
      <c r="E296" s="640"/>
      <c r="F296" s="640"/>
      <c r="G296" s="640"/>
      <c r="H296" s="640"/>
      <c r="I296" s="640"/>
      <c r="J296" s="640"/>
      <c r="K296" s="640"/>
      <c r="L296" s="641"/>
      <c r="M296" s="38"/>
      <c r="N296" s="220"/>
      <c r="O296" s="220"/>
      <c r="P296" s="220"/>
      <c r="Q296" s="220"/>
    </row>
    <row r="297" spans="1:17" s="11" customFormat="1" x14ac:dyDescent="0.3">
      <c r="A297" s="8"/>
      <c r="B297" s="639"/>
      <c r="C297" s="640"/>
      <c r="D297" s="640"/>
      <c r="E297" s="640"/>
      <c r="F297" s="640"/>
      <c r="G297" s="640"/>
      <c r="H297" s="640"/>
      <c r="I297" s="640"/>
      <c r="J297" s="640"/>
      <c r="K297" s="640"/>
      <c r="L297" s="641"/>
      <c r="M297" s="38"/>
      <c r="N297" s="220"/>
      <c r="O297" s="220"/>
      <c r="P297" s="220"/>
      <c r="Q297" s="220"/>
    </row>
    <row r="298" spans="1:17" s="38" customFormat="1" x14ac:dyDescent="0.3">
      <c r="A298" s="49"/>
      <c r="B298" s="813"/>
      <c r="C298" s="814"/>
      <c r="D298" s="814"/>
      <c r="E298" s="814"/>
      <c r="F298" s="814"/>
      <c r="G298" s="814"/>
      <c r="H298" s="814"/>
      <c r="I298" s="814"/>
      <c r="J298" s="814"/>
      <c r="K298" s="814"/>
      <c r="L298" s="815"/>
      <c r="N298" s="220"/>
      <c r="O298" s="220"/>
      <c r="P298" s="220"/>
      <c r="Q298" s="220"/>
    </row>
  </sheetData>
  <sheetProtection algorithmName="SHA-512" hashValue="T9+k58LVHLd/kQ70zYA6WGnztfxJQocGlcyjBSJnYSFZMeEhs3TGKt0hdxgwAi94hCcnMdpxB7AQWYxbF+syeg==" saltValue="E3frloeD1taXG+rVQUoL/A==" spinCount="100000" sheet="1" objects="1" scenarios="1" selectLockedCells="1"/>
  <mergeCells count="245">
    <mergeCell ref="F264:H264"/>
    <mergeCell ref="F263:H263"/>
    <mergeCell ref="F262:H262"/>
    <mergeCell ref="F261:H261"/>
    <mergeCell ref="B168:D168"/>
    <mergeCell ref="B161:L162"/>
    <mergeCell ref="B148:D148"/>
    <mergeCell ref="B149:D149"/>
    <mergeCell ref="B150:D150"/>
    <mergeCell ref="B153:D153"/>
    <mergeCell ref="B82:C84"/>
    <mergeCell ref="D82:F82"/>
    <mergeCell ref="D83:F83"/>
    <mergeCell ref="D84:F84"/>
    <mergeCell ref="B85:C87"/>
    <mergeCell ref="D85:F85"/>
    <mergeCell ref="D86:F86"/>
    <mergeCell ref="D87:F87"/>
    <mergeCell ref="B114:D114"/>
    <mergeCell ref="B122:L123"/>
    <mergeCell ref="B129:F129"/>
    <mergeCell ref="B130:F130"/>
    <mergeCell ref="B131:F131"/>
    <mergeCell ref="B132:F132"/>
    <mergeCell ref="B102:D102"/>
    <mergeCell ref="B103:D103"/>
    <mergeCell ref="B104:D104"/>
    <mergeCell ref="B151:L152"/>
    <mergeCell ref="B156:L157"/>
    <mergeCell ref="B166:L167"/>
    <mergeCell ref="B135:L135"/>
    <mergeCell ref="B138:L138"/>
    <mergeCell ref="B143:D143"/>
    <mergeCell ref="B144:D144"/>
    <mergeCell ref="B145:D145"/>
    <mergeCell ref="B136:L136"/>
    <mergeCell ref="B146:L147"/>
    <mergeCell ref="B140:D140"/>
    <mergeCell ref="B141:L142"/>
    <mergeCell ref="B165:D165"/>
    <mergeCell ref="B74:K74"/>
    <mergeCell ref="B75:C77"/>
    <mergeCell ref="D75:F75"/>
    <mergeCell ref="D76:F76"/>
    <mergeCell ref="D77:F77"/>
    <mergeCell ref="B78:K78"/>
    <mergeCell ref="B79:C81"/>
    <mergeCell ref="D79:F79"/>
    <mergeCell ref="D80:F80"/>
    <mergeCell ref="D81:F81"/>
    <mergeCell ref="B63:C65"/>
    <mergeCell ref="D63:F63"/>
    <mergeCell ref="D64:F64"/>
    <mergeCell ref="D65:F65"/>
    <mergeCell ref="B66:C68"/>
    <mergeCell ref="D66:F66"/>
    <mergeCell ref="D67:F67"/>
    <mergeCell ref="D68:F68"/>
    <mergeCell ref="B69:C71"/>
    <mergeCell ref="D69:F69"/>
    <mergeCell ref="D70:F70"/>
    <mergeCell ref="D71:F71"/>
    <mergeCell ref="B288:L289"/>
    <mergeCell ref="B291:L298"/>
    <mergeCell ref="D284:E284"/>
    <mergeCell ref="B280:L281"/>
    <mergeCell ref="B127:F127"/>
    <mergeCell ref="B187:F187"/>
    <mergeCell ref="B188:F188"/>
    <mergeCell ref="B189:F189"/>
    <mergeCell ref="B190:F190"/>
    <mergeCell ref="B191:F191"/>
    <mergeCell ref="B192:F192"/>
    <mergeCell ref="B246:F246"/>
    <mergeCell ref="B247:F247"/>
    <mergeCell ref="B227:L228"/>
    <mergeCell ref="B232:L233"/>
    <mergeCell ref="B250:F250"/>
    <mergeCell ref="B251:F251"/>
    <mergeCell ref="B252:F252"/>
    <mergeCell ref="B253:F253"/>
    <mergeCell ref="B286:L286"/>
    <mergeCell ref="B171:L172"/>
    <mergeCell ref="B154:D154"/>
    <mergeCell ref="B155:D155"/>
    <mergeCell ref="B158:D158"/>
    <mergeCell ref="B249:F249"/>
    <mergeCell ref="B274:C274"/>
    <mergeCell ref="B262:B264"/>
    <mergeCell ref="B236:D236"/>
    <mergeCell ref="B239:D239"/>
    <mergeCell ref="B240:D240"/>
    <mergeCell ref="B241:D241"/>
    <mergeCell ref="B237:L238"/>
    <mergeCell ref="B257:L257"/>
    <mergeCell ref="C264:E264"/>
    <mergeCell ref="B268:L268"/>
    <mergeCell ref="B243:L244"/>
    <mergeCell ref="B267:L267"/>
    <mergeCell ref="B270:L270"/>
    <mergeCell ref="B273:C273"/>
    <mergeCell ref="C262:E262"/>
    <mergeCell ref="C263:E263"/>
    <mergeCell ref="B256:L256"/>
    <mergeCell ref="B259:L259"/>
    <mergeCell ref="B248:F248"/>
    <mergeCell ref="B231:D231"/>
    <mergeCell ref="B234:D234"/>
    <mergeCell ref="B235:D235"/>
    <mergeCell ref="B221:D221"/>
    <mergeCell ref="B224:D224"/>
    <mergeCell ref="B225:D225"/>
    <mergeCell ref="B226:D226"/>
    <mergeCell ref="B222:L223"/>
    <mergeCell ref="B180:D180"/>
    <mergeCell ref="B219:D219"/>
    <mergeCell ref="B220:D220"/>
    <mergeCell ref="B206:D206"/>
    <mergeCell ref="B209:D209"/>
    <mergeCell ref="B210:D210"/>
    <mergeCell ref="B211:D211"/>
    <mergeCell ref="B207:L208"/>
    <mergeCell ref="B212:L213"/>
    <mergeCell ref="B217:L218"/>
    <mergeCell ref="B214:D214"/>
    <mergeCell ref="B215:D215"/>
    <mergeCell ref="B216:D216"/>
    <mergeCell ref="B204:D204"/>
    <mergeCell ref="B205:D205"/>
    <mergeCell ref="B196:L196"/>
    <mergeCell ref="B229:D229"/>
    <mergeCell ref="B230:D230"/>
    <mergeCell ref="B179:D179"/>
    <mergeCell ref="B178:D178"/>
    <mergeCell ref="B176:L177"/>
    <mergeCell ref="B201:D201"/>
    <mergeCell ref="B202:L203"/>
    <mergeCell ref="B182:L183"/>
    <mergeCell ref="B195:L195"/>
    <mergeCell ref="B198:L198"/>
    <mergeCell ref="B199:L199"/>
    <mergeCell ref="B185:F185"/>
    <mergeCell ref="B186:F186"/>
    <mergeCell ref="B174:D174"/>
    <mergeCell ref="B175:D175"/>
    <mergeCell ref="B163:D163"/>
    <mergeCell ref="B164:D164"/>
    <mergeCell ref="B108:D108"/>
    <mergeCell ref="B109:L109"/>
    <mergeCell ref="B110:D110"/>
    <mergeCell ref="B111:D111"/>
    <mergeCell ref="B112:D112"/>
    <mergeCell ref="B113:L113"/>
    <mergeCell ref="B126:F126"/>
    <mergeCell ref="B125:F125"/>
    <mergeCell ref="B128:F128"/>
    <mergeCell ref="B117:L117"/>
    <mergeCell ref="B118:D118"/>
    <mergeCell ref="B119:D119"/>
    <mergeCell ref="B120:D120"/>
    <mergeCell ref="B115:D115"/>
    <mergeCell ref="B116:D116"/>
    <mergeCell ref="B173:D173"/>
    <mergeCell ref="B169:D169"/>
    <mergeCell ref="B170:D170"/>
    <mergeCell ref="B159:D159"/>
    <mergeCell ref="B160:D160"/>
    <mergeCell ref="B105:L105"/>
    <mergeCell ref="B106:D106"/>
    <mergeCell ref="B107:D107"/>
    <mergeCell ref="B101:L101"/>
    <mergeCell ref="B37:C39"/>
    <mergeCell ref="D37:F37"/>
    <mergeCell ref="D38:F38"/>
    <mergeCell ref="D39:F39"/>
    <mergeCell ref="B90:L90"/>
    <mergeCell ref="B93:L93"/>
    <mergeCell ref="B96:D96"/>
    <mergeCell ref="B91:L91"/>
    <mergeCell ref="B42:K42"/>
    <mergeCell ref="B43:C45"/>
    <mergeCell ref="D43:F43"/>
    <mergeCell ref="D44:F44"/>
    <mergeCell ref="D45:F45"/>
    <mergeCell ref="B46:K46"/>
    <mergeCell ref="B47:C49"/>
    <mergeCell ref="D47:F47"/>
    <mergeCell ref="D48:F48"/>
    <mergeCell ref="D53:F53"/>
    <mergeCell ref="D54:F54"/>
    <mergeCell ref="D55:F55"/>
    <mergeCell ref="D59:F59"/>
    <mergeCell ref="D60:F60"/>
    <mergeCell ref="D61:F61"/>
    <mergeCell ref="B62:K62"/>
    <mergeCell ref="B27:C29"/>
    <mergeCell ref="D27:F27"/>
    <mergeCell ref="D28:F28"/>
    <mergeCell ref="D29:F29"/>
    <mergeCell ref="B41:F41"/>
    <mergeCell ref="B57:F57"/>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25:F25"/>
    <mergeCell ref="B277:C277"/>
    <mergeCell ref="B278:C278"/>
    <mergeCell ref="B30:K30"/>
    <mergeCell ref="B31:C33"/>
    <mergeCell ref="D31:F31"/>
    <mergeCell ref="D32:F32"/>
    <mergeCell ref="D33:F33"/>
    <mergeCell ref="B34:C36"/>
    <mergeCell ref="D34:F34"/>
    <mergeCell ref="D35:F35"/>
    <mergeCell ref="D36:F36"/>
    <mergeCell ref="B94:L94"/>
    <mergeCell ref="B97:L97"/>
    <mergeCell ref="B98:D98"/>
    <mergeCell ref="B99:D99"/>
    <mergeCell ref="B100:D100"/>
    <mergeCell ref="D49:F49"/>
    <mergeCell ref="B50:C52"/>
    <mergeCell ref="D50:F50"/>
    <mergeCell ref="D51:F51"/>
    <mergeCell ref="D52:F52"/>
    <mergeCell ref="B53:C55"/>
    <mergeCell ref="B58:K58"/>
    <mergeCell ref="B59:C61"/>
  </mergeCells>
  <conditionalFormatting sqref="F284:G284">
    <cfRule type="cellIs" dxfId="4" priority="1" operator="equal">
      <formula>"Error"</formula>
    </cfRule>
  </conditionalFormatting>
  <conditionalFormatting sqref="G126:I128 G130:I132">
    <cfRule type="cellIs" dxfId="3" priority="7" operator="equal">
      <formula>"Error"</formula>
    </cfRule>
  </conditionalFormatting>
  <conditionalFormatting sqref="G186:I188 G190:I192">
    <cfRule type="cellIs" dxfId="2" priority="6" operator="equal">
      <formula>"Error"</formula>
    </cfRule>
  </conditionalFormatting>
  <conditionalFormatting sqref="G247:I249">
    <cfRule type="cellIs" dxfId="1" priority="4" operator="equal">
      <formula>"Error"</formula>
    </cfRule>
  </conditionalFormatting>
  <conditionalFormatting sqref="G251:I253">
    <cfRule type="cellIs" dxfId="0" priority="5" operator="equal">
      <formula>"Error"</formula>
    </cfRule>
  </conditionalFormatting>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95 E226:L226 G251:I253 E108:L108 G36:K39 E165:L165 G190:I192 G33:K33 E100:L100 G29:K29 E104:L104 E170:L170 E112:L112 E241:L241 E145:L145 E150:L150 E155:L155 E160:L160 E231:L231 E175:L175 E180:L180 E206:L206 E211:L211 E216:L216 E221:L221 E236:L236 F284:G284 G186:I188 G126:I128 G130:I132 G247:I249 F264 G45:K45 G52:K55 G49:K49 G68:K71 G61:K61 G84:K87 G65:K65 G77:K77 G81:K81 E116:L116 E120:L120"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91"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75:K76 I277:I278 E239:L240 E234:L235 E229:L230 E224:L225 E219:L220 E214:L215 E209:L210 E204:L205 E178:L179 E173:L174 E168:L169 E163:L164 E158:L159 E153:L154 E148:L149 E143:L144 E118:L119 E110:L111 E106:L107 E102:L103 E98:L99 G34:K35 G31:K32 G27:K28 G50:K51 G47:K48 G43:K44 G66:K67 G63:K64 G59:K60 G82:K83 G79:K80 E114:L115 E273:I274 E277:E278 G277:G278 F262:F263" xr:uid="{2D984C4A-02C7-404C-97CA-AC0A18302AB2}">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88" min="1" max="11" man="1"/>
    <brk id="133" min="1" max="11" man="1"/>
    <brk id="193" min="1" max="11" man="1"/>
    <brk id="254" min="1" max="11"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workbookViewId="0"/>
  </sheetViews>
  <sheetFormatPr defaultRowHeight="14.4" x14ac:dyDescent="0.3"/>
  <sheetData/>
  <sheetProtection algorithmName="SHA-512" hashValue="cZjsTOz/8l9FXaReA5A4DVcTgSsnDgmMKLhJ+BSlMwRGlTRMNr0o6pjqm2xIGqgs0lmasKDFBgH49NN86/At4A==" saltValue="KDPAKUf98Gk2npZljBbvuw==" spinCount="100000" sheet="1" objects="1" scenarios="1" selectLockedCell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79"/>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6384" width="9.44140625" style="10"/>
  </cols>
  <sheetData>
    <row r="1" spans="1:16" x14ac:dyDescent="0.3">
      <c r="O1" s="10" t="s">
        <v>481</v>
      </c>
      <c r="P1" s="10" t="s">
        <v>481</v>
      </c>
    </row>
    <row r="2" spans="1:16" x14ac:dyDescent="0.3">
      <c r="B2" s="12" t="str">
        <f>Pro!B2</f>
        <v>PROTECTED</v>
      </c>
      <c r="C2" s="12"/>
      <c r="O2" s="197" t="s">
        <v>93</v>
      </c>
      <c r="P2" s="197" t="s">
        <v>109</v>
      </c>
    </row>
    <row r="3" spans="1:16" x14ac:dyDescent="0.3">
      <c r="B3" s="13"/>
      <c r="C3" s="13"/>
      <c r="O3" s="2"/>
      <c r="P3" s="2"/>
    </row>
    <row r="4" spans="1:16" s="2" customFormat="1" x14ac:dyDescent="0.3">
      <c r="A4" s="4"/>
      <c r="B4" s="588" t="str">
        <f>Info!B4</f>
        <v>IMPORTERS' QUESTIONNAIRE</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x14ac:dyDescent="0.3">
      <c r="A6" s="4"/>
      <c r="B6" s="630" t="str">
        <f>Info!B6</f>
        <v>FORGED GRINDING MEDIA</v>
      </c>
      <c r="C6" s="631"/>
      <c r="D6" s="631"/>
      <c r="E6" s="631"/>
      <c r="F6" s="631"/>
      <c r="G6" s="631"/>
      <c r="H6" s="631"/>
      <c r="I6" s="631"/>
      <c r="J6" s="631"/>
      <c r="K6" s="631"/>
      <c r="L6" s="632"/>
      <c r="M6" s="19"/>
      <c r="N6" s="19"/>
      <c r="O6" s="15"/>
      <c r="P6" s="15"/>
    </row>
    <row r="7" spans="1:16" s="6" customFormat="1" x14ac:dyDescent="0.3">
      <c r="A7" s="4"/>
      <c r="B7" s="161"/>
      <c r="C7" s="162"/>
      <c r="D7" s="162"/>
      <c r="E7" s="162"/>
      <c r="F7" s="162"/>
      <c r="G7" s="162"/>
      <c r="H7" s="162"/>
      <c r="I7" s="162"/>
      <c r="J7" s="162"/>
      <c r="K7" s="162"/>
      <c r="L7" s="163"/>
      <c r="M7" s="19"/>
      <c r="N7" s="19"/>
      <c r="O7" s="20"/>
    </row>
    <row r="8" spans="1:16" s="6" customFormat="1" x14ac:dyDescent="0.3">
      <c r="A8" s="4"/>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x14ac:dyDescent="0.3">
      <c r="A9" s="4"/>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x14ac:dyDescent="0.3">
      <c r="A10" s="4"/>
      <c r="B10" s="633" t="str">
        <f>Pro!B10</f>
        <v xml:space="preserve">Use the AddPro tab if more space is needed.
</v>
      </c>
      <c r="C10" s="634"/>
      <c r="D10" s="634"/>
      <c r="E10" s="634"/>
      <c r="F10" s="634"/>
      <c r="G10" s="634"/>
      <c r="H10" s="634"/>
      <c r="I10" s="634"/>
      <c r="J10" s="634"/>
      <c r="K10" s="634"/>
      <c r="L10" s="635"/>
      <c r="M10" s="19"/>
      <c r="N10" s="19"/>
      <c r="O10" s="15"/>
      <c r="P10" s="15"/>
    </row>
    <row r="11" spans="1:16" s="6" customFormat="1" x14ac:dyDescent="0.3">
      <c r="A11" s="4"/>
      <c r="B11" s="164"/>
      <c r="C11" s="165"/>
      <c r="D11" s="162"/>
      <c r="E11" s="162"/>
      <c r="F11" s="162"/>
      <c r="G11" s="162"/>
      <c r="H11" s="162"/>
      <c r="I11" s="162"/>
      <c r="J11" s="162"/>
      <c r="K11" s="162"/>
      <c r="L11" s="163"/>
      <c r="M11" s="19"/>
      <c r="N11" s="19"/>
      <c r="O11" s="15"/>
      <c r="P11" s="15"/>
    </row>
    <row r="12" spans="1:16" s="6" customFormat="1" x14ac:dyDescent="0.3">
      <c r="A12" s="4"/>
      <c r="B12" s="633" t="str">
        <f>Pro!B12</f>
        <v>For the questions in this tab, note the following:</v>
      </c>
      <c r="C12" s="634"/>
      <c r="D12" s="634"/>
      <c r="E12" s="634"/>
      <c r="F12" s="634"/>
      <c r="G12" s="634"/>
      <c r="H12" s="634"/>
      <c r="I12" s="634"/>
      <c r="J12" s="634"/>
      <c r="K12" s="634"/>
      <c r="L12" s="635"/>
      <c r="M12" s="19"/>
      <c r="N12" s="19"/>
      <c r="O12" s="15"/>
      <c r="P12" s="15"/>
    </row>
    <row r="13" spans="1:16" s="6" customFormat="1" x14ac:dyDescent="0.3">
      <c r="A13" s="4"/>
      <c r="B13" s="633" t="str">
        <f>Pro!B13</f>
        <v>• Report only sales from your firm’s imports. Sales of goods purchased from Canadian producers must be excluded.</v>
      </c>
      <c r="C13" s="634"/>
      <c r="D13" s="634"/>
      <c r="E13" s="634"/>
      <c r="F13" s="634"/>
      <c r="G13" s="634"/>
      <c r="H13" s="634"/>
      <c r="I13" s="634"/>
      <c r="J13" s="634"/>
      <c r="K13" s="634"/>
      <c r="L13" s="635"/>
      <c r="M13" s="19"/>
      <c r="N13" s="19"/>
      <c r="O13" s="15"/>
      <c r="P13" s="15"/>
    </row>
    <row r="14" spans="1:16" s="6" customFormat="1" x14ac:dyDescent="0.3">
      <c r="A14" s="4"/>
      <c r="B14" s="633" t="str">
        <f>Pro!B14</f>
        <v>• Report all sales to Canadian and foreign associated firms.</v>
      </c>
      <c r="C14" s="634"/>
      <c r="D14" s="634"/>
      <c r="E14" s="634"/>
      <c r="F14" s="634"/>
      <c r="G14" s="634"/>
      <c r="H14" s="634"/>
      <c r="I14" s="634"/>
      <c r="J14" s="634"/>
      <c r="K14" s="634"/>
      <c r="L14" s="635"/>
      <c r="M14" s="19"/>
      <c r="N14" s="19"/>
      <c r="O14" s="15"/>
      <c r="P14" s="15"/>
    </row>
    <row r="15" spans="1:16" s="6" customFormat="1" x14ac:dyDescent="0.3">
      <c r="A15" s="4"/>
      <c r="B15" s="633" t="str">
        <f>Pro!B15</f>
        <v>• Report all sales as of the date of shipment to the customer or the customer’s warehouse.</v>
      </c>
      <c r="C15" s="634"/>
      <c r="D15" s="634"/>
      <c r="E15" s="634"/>
      <c r="F15" s="634"/>
      <c r="G15" s="634"/>
      <c r="H15" s="634"/>
      <c r="I15" s="634"/>
      <c r="J15" s="634"/>
      <c r="K15" s="634"/>
      <c r="L15" s="635"/>
      <c r="M15" s="19"/>
      <c r="N15" s="19"/>
      <c r="O15" s="15"/>
      <c r="P15" s="15"/>
    </row>
    <row r="16" spans="1:16" s="6" customFormat="1" x14ac:dyDescent="0.3">
      <c r="A16" s="4"/>
      <c r="B16" s="633" t="str">
        <f>Pro!B16</f>
        <v>• Report all values in Canadian dollars.</v>
      </c>
      <c r="C16" s="634"/>
      <c r="D16" s="634"/>
      <c r="E16" s="634"/>
      <c r="F16" s="634"/>
      <c r="G16" s="634"/>
      <c r="H16" s="634"/>
      <c r="I16" s="634"/>
      <c r="J16" s="634"/>
      <c r="K16" s="634"/>
      <c r="L16" s="635"/>
      <c r="M16" s="19"/>
      <c r="N16" s="19"/>
      <c r="O16" s="15"/>
      <c r="P16" s="15"/>
    </row>
    <row r="17" spans="1:16" s="6" customFormat="1" x14ac:dyDescent="0.3">
      <c r="A17" s="33"/>
      <c r="B17" s="636" t="str">
        <f>'Imp-Exp1'!B17</f>
        <v>• If your firm is an end user or a retailer, your firm does not need to report sales of imports or inventories of imports.</v>
      </c>
      <c r="C17" s="637"/>
      <c r="D17" s="637"/>
      <c r="E17" s="637"/>
      <c r="F17" s="637"/>
      <c r="G17" s="637"/>
      <c r="H17" s="637"/>
      <c r="I17" s="637"/>
      <c r="J17" s="637"/>
      <c r="K17" s="637"/>
      <c r="L17" s="638"/>
      <c r="M17" s="19"/>
      <c r="N17" s="19"/>
      <c r="O17" s="15"/>
      <c r="P17" s="15"/>
    </row>
    <row r="18" spans="1:16" s="6" customFormat="1" x14ac:dyDescent="0.3">
      <c r="A18" s="4"/>
      <c r="B18" s="14"/>
      <c r="C18" s="14"/>
      <c r="D18" s="3"/>
      <c r="E18" s="3"/>
      <c r="F18" s="3"/>
      <c r="G18" s="3"/>
      <c r="H18" s="3"/>
      <c r="I18" s="3"/>
      <c r="J18" s="3"/>
      <c r="K18" s="3"/>
      <c r="L18" s="3"/>
      <c r="O18" s="15"/>
      <c r="P18" s="15"/>
    </row>
    <row r="19" spans="1:16" x14ac:dyDescent="0.3">
      <c r="A19" s="7"/>
      <c r="B19" s="506" t="str">
        <f>IF(Intro!$G$20="English",O19,P19)</f>
        <v>INVENTORIES AND EXPORT SALES</v>
      </c>
      <c r="C19" s="507"/>
      <c r="D19" s="507"/>
      <c r="E19" s="507"/>
      <c r="F19" s="507"/>
      <c r="G19" s="507"/>
      <c r="H19" s="507"/>
      <c r="I19" s="507"/>
      <c r="J19" s="507"/>
      <c r="K19" s="507"/>
      <c r="L19" s="508"/>
      <c r="M19" s="10"/>
      <c r="O19" s="107" t="s">
        <v>371</v>
      </c>
      <c r="P19" s="107" t="s">
        <v>372</v>
      </c>
    </row>
    <row r="20" spans="1:16" x14ac:dyDescent="0.3">
      <c r="A20" s="7"/>
      <c r="B20" s="647" t="s">
        <v>12</v>
      </c>
      <c r="C20" s="648"/>
      <c r="D20" s="648"/>
      <c r="E20" s="648"/>
      <c r="F20" s="648"/>
      <c r="G20" s="648"/>
      <c r="H20" s="648"/>
      <c r="I20" s="648"/>
      <c r="J20" s="648"/>
      <c r="K20" s="648"/>
      <c r="L20" s="649"/>
      <c r="M20" s="10"/>
    </row>
    <row r="21" spans="1:16" x14ac:dyDescent="0.3">
      <c r="A21" s="7"/>
      <c r="B21" s="16"/>
      <c r="C21" s="35"/>
      <c r="D21" s="36"/>
      <c r="E21" s="36"/>
      <c r="F21" s="36"/>
      <c r="G21" s="36"/>
      <c r="H21" s="36"/>
      <c r="I21" s="36"/>
      <c r="J21" s="36"/>
      <c r="K21" s="36"/>
      <c r="L21" s="17"/>
      <c r="M21" s="10"/>
    </row>
    <row r="22" spans="1:16" x14ac:dyDescent="0.3">
      <c r="A22" s="7"/>
      <c r="B22" s="503" t="str">
        <f>IF(Intro!$G$20="English",O22,P22)</f>
        <v>Provide your firm's inventories and export sales of imports of the goods.</v>
      </c>
      <c r="C22" s="504"/>
      <c r="D22" s="504"/>
      <c r="E22" s="504"/>
      <c r="F22" s="504"/>
      <c r="G22" s="504"/>
      <c r="H22" s="504"/>
      <c r="I22" s="504"/>
      <c r="J22" s="504"/>
      <c r="K22" s="504"/>
      <c r="L22" s="505"/>
      <c r="M22" s="10"/>
      <c r="O22" s="18" t="s">
        <v>173</v>
      </c>
      <c r="P22" s="18" t="s">
        <v>85</v>
      </c>
    </row>
    <row r="23" spans="1:16" x14ac:dyDescent="0.3">
      <c r="A23" s="7"/>
      <c r="B23" s="61"/>
      <c r="C23" s="35"/>
      <c r="D23" s="36"/>
      <c r="E23" s="36"/>
      <c r="F23" s="36"/>
      <c r="G23" s="36"/>
      <c r="H23" s="36"/>
      <c r="I23" s="36"/>
      <c r="J23" s="36"/>
      <c r="K23" s="36"/>
      <c r="L23" s="17"/>
      <c r="M23" s="10"/>
      <c r="O23" s="18"/>
    </row>
    <row r="24" spans="1:16" x14ac:dyDescent="0.3">
      <c r="A24" s="7"/>
      <c r="B24" s="816" t="str">
        <f>IF(Intro!$G$20="English",O24,P24)</f>
        <v>Forged</v>
      </c>
      <c r="C24" s="817"/>
      <c r="D24" s="817"/>
      <c r="E24" s="817"/>
      <c r="F24" s="818"/>
      <c r="G24" s="728">
        <f>Variables!$B$6</f>
        <v>2023</v>
      </c>
      <c r="H24" s="728">
        <f>G24+1</f>
        <v>2024</v>
      </c>
      <c r="I24" s="728">
        <f>H24+1</f>
        <v>2025</v>
      </c>
      <c r="J24" s="728" t="str">
        <f>IF(Intro!$G$20="English",Variables!B9,Variables!C9)</f>
        <v>Jan-Mar 2025</v>
      </c>
      <c r="K24" s="728" t="str">
        <f>IF(Intro!$G$20="English",Variables!B10,Variables!C10)</f>
        <v>Jan-Mar 2026</v>
      </c>
      <c r="L24" s="71"/>
      <c r="M24" s="10"/>
      <c r="O24" s="18" t="str">
        <f>Variables!B70</f>
        <v>Forged</v>
      </c>
      <c r="P24" s="10" t="str">
        <f>Variables!C70</f>
        <v>Forgeage</v>
      </c>
    </row>
    <row r="25" spans="1:16" x14ac:dyDescent="0.3">
      <c r="A25" s="7"/>
      <c r="B25" s="819"/>
      <c r="C25" s="820"/>
      <c r="D25" s="820"/>
      <c r="E25" s="820"/>
      <c r="F25" s="821"/>
      <c r="G25" s="728"/>
      <c r="H25" s="728"/>
      <c r="I25" s="728"/>
      <c r="J25" s="728"/>
      <c r="K25" s="728"/>
      <c r="L25" s="71"/>
      <c r="M25" s="10"/>
      <c r="O25" s="18"/>
    </row>
    <row r="26" spans="1:16" x14ac:dyDescent="0.3">
      <c r="A26" s="7"/>
      <c r="B26" s="540" t="str">
        <f>IF(Intro!$G$20="English",O26,P26)</f>
        <v>Beginning inventory</v>
      </c>
      <c r="C26" s="541"/>
      <c r="D26" s="799" t="str">
        <f>IF(Intro!$G$20="English",Variables!$B$23,Variables!$C$23)</f>
        <v>tonnes</v>
      </c>
      <c r="E26" s="799"/>
      <c r="F26" s="799"/>
      <c r="G26" s="228"/>
      <c r="H26" s="229">
        <f>G32</f>
        <v>0</v>
      </c>
      <c r="I26" s="229">
        <f>H32</f>
        <v>0</v>
      </c>
      <c r="J26" s="229">
        <f>H32</f>
        <v>0</v>
      </c>
      <c r="K26" s="229">
        <f>I32</f>
        <v>0</v>
      </c>
      <c r="L26" s="71"/>
      <c r="M26" s="10"/>
      <c r="O26" s="10" t="s">
        <v>144</v>
      </c>
      <c r="P26" s="10" t="s">
        <v>145</v>
      </c>
    </row>
    <row r="27" spans="1:16" x14ac:dyDescent="0.3">
      <c r="A27" s="7"/>
      <c r="B27" s="540"/>
      <c r="C27" s="541"/>
      <c r="D27" s="799" t="s">
        <v>237</v>
      </c>
      <c r="E27" s="799"/>
      <c r="F27" s="799"/>
      <c r="G27" s="228"/>
      <c r="H27" s="229">
        <f>G33</f>
        <v>0</v>
      </c>
      <c r="I27" s="229">
        <f>H33</f>
        <v>0</v>
      </c>
      <c r="J27" s="229">
        <f>H33</f>
        <v>0</v>
      </c>
      <c r="K27" s="229">
        <f>I33</f>
        <v>0</v>
      </c>
      <c r="L27" s="71"/>
      <c r="M27" s="10"/>
    </row>
    <row r="28" spans="1:16" ht="15" thickBot="1" x14ac:dyDescent="0.35">
      <c r="A28" s="7"/>
      <c r="B28" s="752"/>
      <c r="C28" s="753"/>
      <c r="D28" s="797" t="str">
        <f>"$ / "&amp;IF(Intro!$G$20="English",Variables!$B$24,Variables!$C$24)</f>
        <v>$ / tonne</v>
      </c>
      <c r="E28" s="797"/>
      <c r="F28" s="797"/>
      <c r="G28" s="297" t="str">
        <f>IF(G26=0,"-",G27/G26)</f>
        <v>-</v>
      </c>
      <c r="H28" s="297" t="str">
        <f>IF(H26=0,"-",H27/H26)</f>
        <v>-</v>
      </c>
      <c r="I28" s="297" t="str">
        <f>IF(I26=0,"-",I27/I26)</f>
        <v>-</v>
      </c>
      <c r="J28" s="297" t="str">
        <f>IF(J26=0,"-",J27/J26)</f>
        <v>-</v>
      </c>
      <c r="K28" s="297" t="str">
        <f>IF(K26=0,"-",K27/K26)</f>
        <v>-</v>
      </c>
      <c r="L28" s="71"/>
      <c r="M28" s="10"/>
    </row>
    <row r="29" spans="1:16" x14ac:dyDescent="0.3">
      <c r="A29" s="7"/>
      <c r="B29" s="754" t="str">
        <f>IF(Intro!$G$20="English",O29,P29)</f>
        <v>Export sales</v>
      </c>
      <c r="C29" s="755"/>
      <c r="D29" s="798" t="str">
        <f>IF(Intro!$G$20="English",Variables!$B$23,Variables!$C$23)</f>
        <v>tonnes</v>
      </c>
      <c r="E29" s="798"/>
      <c r="F29" s="798"/>
      <c r="G29" s="230"/>
      <c r="H29" s="230"/>
      <c r="I29" s="230"/>
      <c r="J29" s="230"/>
      <c r="K29" s="230"/>
      <c r="L29" s="71"/>
      <c r="M29" s="10"/>
      <c r="O29" s="10" t="s">
        <v>266</v>
      </c>
      <c r="P29" s="10" t="s">
        <v>146</v>
      </c>
    </row>
    <row r="30" spans="1:16" x14ac:dyDescent="0.3">
      <c r="A30" s="7"/>
      <c r="B30" s="540"/>
      <c r="C30" s="541"/>
      <c r="D30" s="799" t="str">
        <f>'Imp-Exp1'!D32</f>
        <v>net delivered selling value (CAD)</v>
      </c>
      <c r="E30" s="799"/>
      <c r="F30" s="799"/>
      <c r="G30" s="228"/>
      <c r="H30" s="228"/>
      <c r="I30" s="228"/>
      <c r="J30" s="228"/>
      <c r="K30" s="228"/>
      <c r="L30" s="71"/>
      <c r="M30" s="10"/>
    </row>
    <row r="31" spans="1:16" ht="15" thickBot="1" x14ac:dyDescent="0.35">
      <c r="A31" s="7"/>
      <c r="B31" s="752"/>
      <c r="C31" s="753"/>
      <c r="D31" s="797" t="str">
        <f>"$ / "&amp;IF(Intro!$G$20="English",Variables!$B$24,Variables!$C$24)</f>
        <v>$ / tonne</v>
      </c>
      <c r="E31" s="797"/>
      <c r="F31" s="797"/>
      <c r="G31" s="297" t="str">
        <f>IF(G29=0,"-",G30/G29)</f>
        <v>-</v>
      </c>
      <c r="H31" s="297" t="str">
        <f>IF(H29=0,"-",H30/H29)</f>
        <v>-</v>
      </c>
      <c r="I31" s="297" t="str">
        <f t="shared" ref="I31:J31" si="0">IF(I29=0,"-",I30/I29)</f>
        <v>-</v>
      </c>
      <c r="J31" s="297" t="str">
        <f t="shared" si="0"/>
        <v>-</v>
      </c>
      <c r="K31" s="297" t="str">
        <f t="shared" ref="K31" si="1">IF(K29=0,"-",K30/K29)</f>
        <v>-</v>
      </c>
      <c r="L31" s="71"/>
      <c r="M31" s="10"/>
    </row>
    <row r="32" spans="1:16" x14ac:dyDescent="0.3">
      <c r="A32" s="7"/>
      <c r="B32" s="570" t="str">
        <f>IF(Intro!$G$20="English",O32,P32)</f>
        <v>Ending inventory</v>
      </c>
      <c r="C32" s="571"/>
      <c r="D32" s="824" t="str">
        <f>IF(Intro!$G$20="English",Variables!$B$23,Variables!$C$23)</f>
        <v>tonnes</v>
      </c>
      <c r="E32" s="824"/>
      <c r="F32" s="824"/>
      <c r="G32" s="231"/>
      <c r="H32" s="231"/>
      <c r="I32" s="231"/>
      <c r="J32" s="231"/>
      <c r="K32" s="231"/>
      <c r="L32" s="71"/>
      <c r="M32" s="10"/>
      <c r="O32" s="10" t="s">
        <v>147</v>
      </c>
      <c r="P32" s="10" t="s">
        <v>439</v>
      </c>
    </row>
    <row r="33" spans="1:16" x14ac:dyDescent="0.3">
      <c r="A33" s="7"/>
      <c r="B33" s="540"/>
      <c r="C33" s="541"/>
      <c r="D33" s="799" t="s">
        <v>237</v>
      </c>
      <c r="E33" s="799"/>
      <c r="F33" s="799"/>
      <c r="G33" s="228"/>
      <c r="H33" s="228"/>
      <c r="I33" s="228"/>
      <c r="J33" s="228"/>
      <c r="K33" s="228"/>
      <c r="L33" s="71"/>
      <c r="M33" s="10"/>
    </row>
    <row r="34" spans="1:16" x14ac:dyDescent="0.3">
      <c r="A34" s="7"/>
      <c r="B34" s="540"/>
      <c r="C34" s="541"/>
      <c r="D34" s="799" t="str">
        <f>"$ / "&amp;IF(Intro!$G$20="English",Variables!$B$24,Variables!$C$24)</f>
        <v>$ / tonne</v>
      </c>
      <c r="E34" s="799"/>
      <c r="F34" s="799"/>
      <c r="G34" s="298" t="str">
        <f>IF(G32=0,"-",G33/G32)</f>
        <v>-</v>
      </c>
      <c r="H34" s="298" t="str">
        <f t="shared" ref="H34:I34" si="2">IF(H32=0,"-",H33/H32)</f>
        <v>-</v>
      </c>
      <c r="I34" s="298" t="str">
        <f t="shared" si="2"/>
        <v>-</v>
      </c>
      <c r="J34" s="298" t="str">
        <f t="shared" ref="J34:K34" si="3">IF(J32=0,"-",J33/J32)</f>
        <v>-</v>
      </c>
      <c r="K34" s="298" t="str">
        <f t="shared" si="3"/>
        <v>-</v>
      </c>
      <c r="L34" s="71"/>
      <c r="M34" s="10"/>
    </row>
    <row r="35" spans="1:16" x14ac:dyDescent="0.3">
      <c r="A35" s="7"/>
      <c r="B35" s="72"/>
      <c r="C35" s="69"/>
      <c r="D35" s="69"/>
      <c r="E35" s="69"/>
      <c r="F35" s="69"/>
      <c r="G35" s="69"/>
      <c r="H35" s="69"/>
      <c r="I35" s="69"/>
      <c r="J35" s="69"/>
      <c r="K35" s="69"/>
      <c r="L35" s="70"/>
      <c r="M35" s="10"/>
    </row>
    <row r="36" spans="1:16" s="11" customFormat="1" x14ac:dyDescent="0.3">
      <c r="A36" s="7"/>
      <c r="B36" s="650" t="s">
        <v>15</v>
      </c>
      <c r="C36" s="651"/>
      <c r="D36" s="651"/>
      <c r="E36" s="651"/>
      <c r="F36" s="651"/>
      <c r="G36" s="651"/>
      <c r="H36" s="651"/>
      <c r="I36" s="651"/>
      <c r="J36" s="651"/>
      <c r="K36" s="651"/>
      <c r="L36" s="652"/>
      <c r="M36" s="73"/>
      <c r="O36" s="10"/>
    </row>
    <row r="37" spans="1:16" x14ac:dyDescent="0.3">
      <c r="A37" s="7"/>
      <c r="B37" s="74"/>
      <c r="C37" s="75"/>
      <c r="D37" s="75"/>
      <c r="E37" s="75"/>
      <c r="F37" s="75"/>
      <c r="G37" s="75"/>
      <c r="H37" s="75"/>
      <c r="I37" s="75"/>
      <c r="J37" s="75"/>
      <c r="K37" s="75"/>
      <c r="L37" s="58"/>
      <c r="M37" s="10"/>
    </row>
    <row r="38" spans="1:16" ht="14.1" customHeight="1" x14ac:dyDescent="0.3">
      <c r="A38" s="7"/>
      <c r="B38" s="500" t="str">
        <f>IF(Intro!$G$20="English",O38,P38)</f>
        <v>Using data provided in Question 1 in the country tabs with the data provided in Question 1 on the Invent-Stock tab, the questionnaire calculates ending inventory as follows:</v>
      </c>
      <c r="C38" s="501"/>
      <c r="D38" s="501"/>
      <c r="E38" s="501"/>
      <c r="F38" s="501"/>
      <c r="G38" s="501"/>
      <c r="H38" s="501"/>
      <c r="I38" s="501"/>
      <c r="J38" s="501"/>
      <c r="K38" s="501"/>
      <c r="L38" s="502"/>
      <c r="M38" s="10"/>
      <c r="O38" s="10" t="s">
        <v>459</v>
      </c>
      <c r="P38" s="10" t="s">
        <v>460</v>
      </c>
    </row>
    <row r="39" spans="1:16" x14ac:dyDescent="0.3">
      <c r="A39" s="7"/>
      <c r="B39" s="74"/>
      <c r="C39" s="75"/>
      <c r="D39" s="75"/>
      <c r="E39" s="75"/>
      <c r="F39" s="75"/>
      <c r="G39" s="75"/>
      <c r="H39" s="75"/>
      <c r="I39" s="75"/>
      <c r="J39" s="75"/>
      <c r="K39" s="75"/>
      <c r="L39" s="58"/>
      <c r="M39" s="10"/>
    </row>
    <row r="40" spans="1:16" x14ac:dyDescent="0.3">
      <c r="A40" s="7"/>
      <c r="B40" s="816" t="str">
        <f>B24</f>
        <v>Forged</v>
      </c>
      <c r="C40" s="817"/>
      <c r="D40" s="817"/>
      <c r="E40" s="817"/>
      <c r="F40" s="818"/>
      <c r="G40" s="728">
        <f t="shared" ref="G40:K40" si="4">G24</f>
        <v>2023</v>
      </c>
      <c r="H40" s="728">
        <f t="shared" si="4"/>
        <v>2024</v>
      </c>
      <c r="I40" s="728">
        <f t="shared" si="4"/>
        <v>2025</v>
      </c>
      <c r="J40" s="728" t="str">
        <f t="shared" si="4"/>
        <v>Jan-Mar 2025</v>
      </c>
      <c r="K40" s="728" t="str">
        <f t="shared" si="4"/>
        <v>Jan-Mar 2026</v>
      </c>
      <c r="L40" s="71"/>
      <c r="M40" s="10"/>
      <c r="O40" s="18"/>
    </row>
    <row r="41" spans="1:16" x14ac:dyDescent="0.3">
      <c r="A41" s="7"/>
      <c r="B41" s="819"/>
      <c r="C41" s="820"/>
      <c r="D41" s="820"/>
      <c r="E41" s="820"/>
      <c r="F41" s="821"/>
      <c r="G41" s="728"/>
      <c r="H41" s="728"/>
      <c r="I41" s="728"/>
      <c r="J41" s="728"/>
      <c r="K41" s="728"/>
      <c r="L41" s="71"/>
      <c r="M41" s="10"/>
      <c r="O41" s="18"/>
    </row>
    <row r="42" spans="1:16" x14ac:dyDescent="0.3">
      <c r="A42" s="7"/>
      <c r="B42" s="540" t="str">
        <f>B32</f>
        <v>Ending inventory</v>
      </c>
      <c r="C42" s="541"/>
      <c r="D42" s="541"/>
      <c r="E42" s="823" t="str">
        <f>IF(Intro!$G$20="English",Variables!$B$23,Variables!$C$23)</f>
        <v>tonnes</v>
      </c>
      <c r="F42" s="823"/>
      <c r="G42" s="226">
        <f>G26+SUM(Begin:End!G27)-SUM(Begin:End!G37)-G29</f>
        <v>0</v>
      </c>
      <c r="H42" s="226">
        <f>H26+SUM(Begin:End!H27)-SUM(Begin:End!H37)-H29</f>
        <v>0</v>
      </c>
      <c r="I42" s="226">
        <f>I26+SUM(Begin:End!I27)-SUM(Begin:End!I37)-I29</f>
        <v>0</v>
      </c>
      <c r="J42" s="226">
        <f>J26+SUM(Begin:End!J27)-SUM(Begin:End!J37)-J29</f>
        <v>0</v>
      </c>
      <c r="K42" s="226">
        <f>K26+SUM(Begin:End!K27)-SUM(Begin:End!K37)-K29</f>
        <v>0</v>
      </c>
      <c r="L42" s="71"/>
      <c r="M42" s="10"/>
    </row>
    <row r="43" spans="1:16" ht="14.1" customHeight="1" x14ac:dyDescent="0.3">
      <c r="A43" s="7"/>
      <c r="B43" s="540" t="str">
        <f>IF(Intro!$G$20="English",O43,P43)</f>
        <v>Difference between ending inventory in Question 1 on the Invent-Stock tab and the calculated ending inventory</v>
      </c>
      <c r="C43" s="541"/>
      <c r="D43" s="541"/>
      <c r="E43" s="823" t="str">
        <f>IF(Intro!$G$20="English",Variables!$B$23,Variables!$C$23)</f>
        <v>tonnes</v>
      </c>
      <c r="F43" s="823"/>
      <c r="G43" s="822">
        <f>G32-G42</f>
        <v>0</v>
      </c>
      <c r="H43" s="822">
        <f>H32-H42</f>
        <v>0</v>
      </c>
      <c r="I43" s="822">
        <f>I32-I42</f>
        <v>0</v>
      </c>
      <c r="J43" s="822">
        <f>J32-J42</f>
        <v>0</v>
      </c>
      <c r="K43" s="822">
        <f>K32-K42</f>
        <v>0</v>
      </c>
      <c r="L43" s="71"/>
      <c r="M43" s="10"/>
      <c r="O43" s="10" t="s">
        <v>195</v>
      </c>
      <c r="P43" s="10" t="s">
        <v>267</v>
      </c>
    </row>
    <row r="44" spans="1:16" x14ac:dyDescent="0.3">
      <c r="A44" s="7"/>
      <c r="B44" s="540"/>
      <c r="C44" s="541"/>
      <c r="D44" s="541"/>
      <c r="E44" s="823"/>
      <c r="F44" s="823"/>
      <c r="G44" s="822"/>
      <c r="H44" s="822"/>
      <c r="I44" s="822"/>
      <c r="J44" s="822"/>
      <c r="K44" s="822"/>
      <c r="L44" s="71"/>
      <c r="M44" s="10"/>
    </row>
    <row r="45" spans="1:16" x14ac:dyDescent="0.3">
      <c r="A45" s="7"/>
      <c r="B45" s="540"/>
      <c r="C45" s="541"/>
      <c r="D45" s="541"/>
      <c r="E45" s="823"/>
      <c r="F45" s="823"/>
      <c r="G45" s="822"/>
      <c r="H45" s="822"/>
      <c r="I45" s="822"/>
      <c r="J45" s="822"/>
      <c r="K45" s="822"/>
      <c r="L45" s="71"/>
      <c r="M45" s="10"/>
    </row>
    <row r="46" spans="1:16" x14ac:dyDescent="0.3">
      <c r="A46" s="7"/>
      <c r="B46" s="74"/>
      <c r="C46" s="75"/>
      <c r="D46" s="75"/>
      <c r="E46" s="75"/>
      <c r="F46" s="75"/>
      <c r="G46" s="75"/>
      <c r="H46" s="75"/>
      <c r="I46" s="75"/>
      <c r="J46" s="75"/>
      <c r="K46" s="75"/>
      <c r="L46" s="58"/>
      <c r="M46" s="10"/>
    </row>
    <row r="47" spans="1:16" x14ac:dyDescent="0.3">
      <c r="A47" s="7"/>
      <c r="B47" s="625" t="str">
        <f>IF(Intro!$G$20="English",O47,P47)</f>
        <v>If the volume of ending inventory in Question 1 on the Invent-Stock tab differs from the calculated ending inventory, explain why there is a difference.</v>
      </c>
      <c r="C47" s="626"/>
      <c r="D47" s="626"/>
      <c r="E47" s="626"/>
      <c r="F47" s="626"/>
      <c r="G47" s="626"/>
      <c r="H47" s="626"/>
      <c r="I47" s="626"/>
      <c r="J47" s="626"/>
      <c r="K47" s="626"/>
      <c r="L47" s="627"/>
      <c r="M47" s="10"/>
      <c r="O47" s="27" t="s">
        <v>174</v>
      </c>
      <c r="P47" s="10" t="s">
        <v>268</v>
      </c>
    </row>
    <row r="48" spans="1:16" x14ac:dyDescent="0.3">
      <c r="A48" s="7"/>
      <c r="B48" s="74"/>
      <c r="C48" s="75"/>
      <c r="D48" s="75"/>
      <c r="E48" s="75"/>
      <c r="F48" s="75"/>
      <c r="G48" s="75"/>
      <c r="H48" s="75"/>
      <c r="I48" s="75"/>
      <c r="J48" s="75"/>
      <c r="K48" s="75"/>
      <c r="L48" s="58"/>
      <c r="M48" s="10"/>
    </row>
    <row r="49" spans="1:16" s="11" customFormat="1" x14ac:dyDescent="0.3">
      <c r="A49" s="7"/>
      <c r="B49" s="639"/>
      <c r="C49" s="640"/>
      <c r="D49" s="640"/>
      <c r="E49" s="640"/>
      <c r="F49" s="640"/>
      <c r="G49" s="640"/>
      <c r="H49" s="640"/>
      <c r="I49" s="640"/>
      <c r="J49" s="640"/>
      <c r="K49" s="640"/>
      <c r="L49" s="641"/>
      <c r="M49" s="38"/>
    </row>
    <row r="50" spans="1:16" s="11" customFormat="1" x14ac:dyDescent="0.3">
      <c r="A50" s="7"/>
      <c r="B50" s="639"/>
      <c r="C50" s="640"/>
      <c r="D50" s="640"/>
      <c r="E50" s="640"/>
      <c r="F50" s="640"/>
      <c r="G50" s="640"/>
      <c r="H50" s="640"/>
      <c r="I50" s="640"/>
      <c r="J50" s="640"/>
      <c r="K50" s="640"/>
      <c r="L50" s="641"/>
      <c r="M50" s="38"/>
    </row>
    <row r="51" spans="1:16" s="11" customFormat="1" x14ac:dyDescent="0.3">
      <c r="A51" s="7"/>
      <c r="B51" s="639"/>
      <c r="C51" s="640"/>
      <c r="D51" s="640"/>
      <c r="E51" s="640"/>
      <c r="F51" s="640"/>
      <c r="G51" s="640"/>
      <c r="H51" s="640"/>
      <c r="I51" s="640"/>
      <c r="J51" s="640"/>
      <c r="K51" s="640"/>
      <c r="L51" s="641"/>
      <c r="M51" s="38"/>
    </row>
    <row r="52" spans="1:16" s="11" customFormat="1" x14ac:dyDescent="0.3">
      <c r="A52" s="7"/>
      <c r="B52" s="639"/>
      <c r="C52" s="640"/>
      <c r="D52" s="640"/>
      <c r="E52" s="640"/>
      <c r="F52" s="640"/>
      <c r="G52" s="640"/>
      <c r="H52" s="640"/>
      <c r="I52" s="640"/>
      <c r="J52" s="640"/>
      <c r="K52" s="640"/>
      <c r="L52" s="641"/>
      <c r="M52" s="38"/>
    </row>
    <row r="53" spans="1:16" s="11" customFormat="1" x14ac:dyDescent="0.3">
      <c r="A53" s="7"/>
      <c r="B53" s="639"/>
      <c r="C53" s="640"/>
      <c r="D53" s="640"/>
      <c r="E53" s="640"/>
      <c r="F53" s="640"/>
      <c r="G53" s="640"/>
      <c r="H53" s="640"/>
      <c r="I53" s="640"/>
      <c r="J53" s="640"/>
      <c r="K53" s="640"/>
      <c r="L53" s="641"/>
      <c r="M53" s="38"/>
    </row>
    <row r="54" spans="1:16" s="11" customFormat="1" x14ac:dyDescent="0.3">
      <c r="A54" s="7"/>
      <c r="B54" s="639"/>
      <c r="C54" s="640"/>
      <c r="D54" s="640"/>
      <c r="E54" s="640"/>
      <c r="F54" s="640"/>
      <c r="G54" s="640"/>
      <c r="H54" s="640"/>
      <c r="I54" s="640"/>
      <c r="J54" s="640"/>
      <c r="K54" s="640"/>
      <c r="L54" s="641"/>
      <c r="M54" s="38"/>
    </row>
    <row r="55" spans="1:16" s="11" customFormat="1" x14ac:dyDescent="0.3">
      <c r="A55" s="7"/>
      <c r="B55" s="639"/>
      <c r="C55" s="640"/>
      <c r="D55" s="640"/>
      <c r="E55" s="640"/>
      <c r="F55" s="640"/>
      <c r="G55" s="640"/>
      <c r="H55" s="640"/>
      <c r="I55" s="640"/>
      <c r="J55" s="640"/>
      <c r="K55" s="640"/>
      <c r="L55" s="641"/>
      <c r="M55" s="38"/>
    </row>
    <row r="56" spans="1:16" s="11" customFormat="1" x14ac:dyDescent="0.3">
      <c r="A56" s="7"/>
      <c r="B56" s="639"/>
      <c r="C56" s="640"/>
      <c r="D56" s="640"/>
      <c r="E56" s="640"/>
      <c r="F56" s="640"/>
      <c r="G56" s="640"/>
      <c r="H56" s="640"/>
      <c r="I56" s="640"/>
      <c r="J56" s="640"/>
      <c r="K56" s="640"/>
      <c r="L56" s="641"/>
      <c r="M56" s="38"/>
    </row>
    <row r="57" spans="1:16" x14ac:dyDescent="0.3">
      <c r="A57" s="7"/>
      <c r="B57" s="72"/>
      <c r="C57" s="69"/>
      <c r="D57" s="69"/>
      <c r="E57" s="69"/>
      <c r="F57" s="69"/>
      <c r="G57" s="69"/>
      <c r="H57" s="69"/>
      <c r="I57" s="69"/>
      <c r="J57" s="69"/>
      <c r="K57" s="69"/>
      <c r="L57" s="70"/>
      <c r="M57" s="10"/>
    </row>
    <row r="58" spans="1:16" x14ac:dyDescent="0.3">
      <c r="A58" s="7"/>
      <c r="B58" s="647" t="s">
        <v>16</v>
      </c>
      <c r="C58" s="648"/>
      <c r="D58" s="648"/>
      <c r="E58" s="648"/>
      <c r="F58" s="648"/>
      <c r="G58" s="648"/>
      <c r="H58" s="648"/>
      <c r="I58" s="648"/>
      <c r="J58" s="648"/>
      <c r="K58" s="648"/>
      <c r="L58" s="649"/>
      <c r="M58" s="10"/>
    </row>
    <row r="59" spans="1:16" x14ac:dyDescent="0.3">
      <c r="A59" s="7"/>
      <c r="B59" s="16"/>
      <c r="C59" s="35"/>
      <c r="D59" s="36"/>
      <c r="E59" s="36"/>
      <c r="F59" s="36"/>
      <c r="G59" s="36"/>
      <c r="H59" s="36"/>
      <c r="I59" s="36"/>
      <c r="J59" s="36"/>
      <c r="K59" s="36"/>
      <c r="L59" s="17"/>
      <c r="M59" s="10"/>
    </row>
    <row r="60" spans="1:16" x14ac:dyDescent="0.3">
      <c r="A60" s="7"/>
      <c r="B60" s="503" t="str">
        <f>IF(Intro!$G$20="English",O60,P60)</f>
        <v>Provide your firm's inventories and export sales of imports of the goods.</v>
      </c>
      <c r="C60" s="504"/>
      <c r="D60" s="504"/>
      <c r="E60" s="504"/>
      <c r="F60" s="504"/>
      <c r="G60" s="504"/>
      <c r="H60" s="504"/>
      <c r="I60" s="504"/>
      <c r="J60" s="504"/>
      <c r="K60" s="504"/>
      <c r="L60" s="505"/>
      <c r="M60" s="10"/>
      <c r="O60" s="18" t="s">
        <v>173</v>
      </c>
      <c r="P60" s="18" t="s">
        <v>85</v>
      </c>
    </row>
    <row r="61" spans="1:16" x14ac:dyDescent="0.3">
      <c r="A61" s="7"/>
      <c r="B61" s="273"/>
      <c r="C61" s="35"/>
      <c r="D61" s="36"/>
      <c r="E61" s="36"/>
      <c r="F61" s="36"/>
      <c r="G61" s="36"/>
      <c r="H61" s="36"/>
      <c r="I61" s="36"/>
      <c r="J61" s="36"/>
      <c r="K61" s="36"/>
      <c r="L61" s="17"/>
      <c r="M61" s="10"/>
      <c r="O61" s="18"/>
    </row>
    <row r="62" spans="1:16" x14ac:dyDescent="0.3">
      <c r="A62" s="7"/>
      <c r="B62" s="816" t="str">
        <f>IF(Intro!$G$20="English",O62,P62)</f>
        <v>Stamped</v>
      </c>
      <c r="C62" s="817"/>
      <c r="D62" s="817"/>
      <c r="E62" s="817"/>
      <c r="F62" s="818"/>
      <c r="G62" s="728">
        <f t="shared" ref="G62:K62" si="5">G24</f>
        <v>2023</v>
      </c>
      <c r="H62" s="728">
        <f t="shared" si="5"/>
        <v>2024</v>
      </c>
      <c r="I62" s="728">
        <f t="shared" si="5"/>
        <v>2025</v>
      </c>
      <c r="J62" s="728" t="str">
        <f t="shared" si="5"/>
        <v>Jan-Mar 2025</v>
      </c>
      <c r="K62" s="728" t="str">
        <f t="shared" si="5"/>
        <v>Jan-Mar 2026</v>
      </c>
      <c r="L62" s="71"/>
      <c r="M62" s="10"/>
      <c r="O62" s="18" t="str">
        <f>Variables!B71</f>
        <v>Stamped</v>
      </c>
      <c r="P62" s="10" t="str">
        <f>Variables!C71</f>
        <v>Estampage</v>
      </c>
    </row>
    <row r="63" spans="1:16" x14ac:dyDescent="0.3">
      <c r="A63" s="7"/>
      <c r="B63" s="819"/>
      <c r="C63" s="820"/>
      <c r="D63" s="820"/>
      <c r="E63" s="820"/>
      <c r="F63" s="821"/>
      <c r="G63" s="728"/>
      <c r="H63" s="728"/>
      <c r="I63" s="728"/>
      <c r="J63" s="728"/>
      <c r="K63" s="728"/>
      <c r="L63" s="71"/>
      <c r="M63" s="10"/>
      <c r="O63" s="18"/>
    </row>
    <row r="64" spans="1:16" x14ac:dyDescent="0.3">
      <c r="A64" s="7"/>
      <c r="B64" s="540" t="str">
        <f>IF(Intro!$G$20="English",O64,P64)</f>
        <v>Beginning inventory</v>
      </c>
      <c r="C64" s="541"/>
      <c r="D64" s="799" t="str">
        <f>IF(Intro!$G$20="English",Variables!$B$23,Variables!$C$23)</f>
        <v>tonnes</v>
      </c>
      <c r="E64" s="799"/>
      <c r="F64" s="799"/>
      <c r="G64" s="228"/>
      <c r="H64" s="229">
        <f>G70</f>
        <v>0</v>
      </c>
      <c r="I64" s="229">
        <f>H70</f>
        <v>0</v>
      </c>
      <c r="J64" s="229">
        <f>H70</f>
        <v>0</v>
      </c>
      <c r="K64" s="229">
        <f>I70</f>
        <v>0</v>
      </c>
      <c r="L64" s="71"/>
      <c r="M64" s="10"/>
      <c r="O64" s="10" t="s">
        <v>144</v>
      </c>
      <c r="P64" s="10" t="s">
        <v>145</v>
      </c>
    </row>
    <row r="65" spans="1:16" x14ac:dyDescent="0.3">
      <c r="A65" s="7"/>
      <c r="B65" s="540"/>
      <c r="C65" s="541"/>
      <c r="D65" s="799" t="s">
        <v>237</v>
      </c>
      <c r="E65" s="799"/>
      <c r="F65" s="799"/>
      <c r="G65" s="228"/>
      <c r="H65" s="229">
        <f>G71</f>
        <v>0</v>
      </c>
      <c r="I65" s="229">
        <f>H71</f>
        <v>0</v>
      </c>
      <c r="J65" s="229">
        <f>H71</f>
        <v>0</v>
      </c>
      <c r="K65" s="229">
        <f>I71</f>
        <v>0</v>
      </c>
      <c r="L65" s="71"/>
      <c r="M65" s="10"/>
    </row>
    <row r="66" spans="1:16" ht="15" thickBot="1" x14ac:dyDescent="0.35">
      <c r="A66" s="7"/>
      <c r="B66" s="752"/>
      <c r="C66" s="753"/>
      <c r="D66" s="797" t="str">
        <f>"$ / "&amp;IF(Intro!$G$20="English",Variables!$B$24,Variables!$C$24)</f>
        <v>$ / tonne</v>
      </c>
      <c r="E66" s="797"/>
      <c r="F66" s="797"/>
      <c r="G66" s="297" t="str">
        <f>IF(G64=0,"-",G65/G64)</f>
        <v>-</v>
      </c>
      <c r="H66" s="297" t="str">
        <f>IF(H64=0,"-",H65/H64)</f>
        <v>-</v>
      </c>
      <c r="I66" s="297" t="str">
        <f>IF(I64=0,"-",I65/I64)</f>
        <v>-</v>
      </c>
      <c r="J66" s="297" t="str">
        <f>IF(J64=0,"-",J65/J64)</f>
        <v>-</v>
      </c>
      <c r="K66" s="297" t="str">
        <f>IF(K64=0,"-",K65/K64)</f>
        <v>-</v>
      </c>
      <c r="L66" s="71"/>
      <c r="M66" s="10"/>
    </row>
    <row r="67" spans="1:16" x14ac:dyDescent="0.3">
      <c r="A67" s="7"/>
      <c r="B67" s="754" t="str">
        <f>IF(Intro!$G$20="English",O67,P67)</f>
        <v>Export sales</v>
      </c>
      <c r="C67" s="755"/>
      <c r="D67" s="798" t="str">
        <f>IF(Intro!$G$20="English",Variables!$B$23,Variables!$C$23)</f>
        <v>tonnes</v>
      </c>
      <c r="E67" s="798"/>
      <c r="F67" s="798"/>
      <c r="G67" s="230"/>
      <c r="H67" s="230"/>
      <c r="I67" s="230"/>
      <c r="J67" s="230"/>
      <c r="K67" s="230"/>
      <c r="L67" s="71"/>
      <c r="M67" s="10"/>
      <c r="O67" s="10" t="s">
        <v>266</v>
      </c>
      <c r="P67" s="10" t="s">
        <v>146</v>
      </c>
    </row>
    <row r="68" spans="1:16" x14ac:dyDescent="0.3">
      <c r="A68" s="7"/>
      <c r="B68" s="540"/>
      <c r="C68" s="541"/>
      <c r="D68" s="799" t="str">
        <f>'Imp-Exp1'!D70</f>
        <v>net delivered selling value (CAD)</v>
      </c>
      <c r="E68" s="799"/>
      <c r="F68" s="799"/>
      <c r="G68" s="228"/>
      <c r="H68" s="228"/>
      <c r="I68" s="228"/>
      <c r="J68" s="228"/>
      <c r="K68" s="228"/>
      <c r="L68" s="71"/>
      <c r="M68" s="10"/>
    </row>
    <row r="69" spans="1:16" ht="15" thickBot="1" x14ac:dyDescent="0.35">
      <c r="A69" s="7"/>
      <c r="B69" s="752"/>
      <c r="C69" s="753"/>
      <c r="D69" s="797" t="str">
        <f>"$ / "&amp;IF(Intro!$G$20="English",Variables!$B$24,Variables!$C$24)</f>
        <v>$ / tonne</v>
      </c>
      <c r="E69" s="797"/>
      <c r="F69" s="797"/>
      <c r="G69" s="297" t="str">
        <f>IF(G67=0,"-",G68/G67)</f>
        <v>-</v>
      </c>
      <c r="H69" s="297" t="str">
        <f>IF(H67=0,"-",H68/H67)</f>
        <v>-</v>
      </c>
      <c r="I69" s="297" t="str">
        <f t="shared" ref="I69:K69" si="6">IF(I67=0,"-",I68/I67)</f>
        <v>-</v>
      </c>
      <c r="J69" s="297" t="str">
        <f t="shared" si="6"/>
        <v>-</v>
      </c>
      <c r="K69" s="297" t="str">
        <f t="shared" si="6"/>
        <v>-</v>
      </c>
      <c r="L69" s="71"/>
      <c r="M69" s="10"/>
    </row>
    <row r="70" spans="1:16" x14ac:dyDescent="0.3">
      <c r="A70" s="7"/>
      <c r="B70" s="570" t="str">
        <f>IF(Intro!$G$20="English",O70,P70)</f>
        <v>Ending inventory</v>
      </c>
      <c r="C70" s="571"/>
      <c r="D70" s="824" t="str">
        <f>IF(Intro!$G$20="English",Variables!$B$23,Variables!$C$23)</f>
        <v>tonnes</v>
      </c>
      <c r="E70" s="824"/>
      <c r="F70" s="824"/>
      <c r="G70" s="231"/>
      <c r="H70" s="231"/>
      <c r="I70" s="231"/>
      <c r="J70" s="231"/>
      <c r="K70" s="231"/>
      <c r="L70" s="71"/>
      <c r="M70" s="10"/>
      <c r="O70" s="10" t="s">
        <v>147</v>
      </c>
      <c r="P70" s="10" t="s">
        <v>439</v>
      </c>
    </row>
    <row r="71" spans="1:16" x14ac:dyDescent="0.3">
      <c r="A71" s="7"/>
      <c r="B71" s="540"/>
      <c r="C71" s="541"/>
      <c r="D71" s="799" t="s">
        <v>237</v>
      </c>
      <c r="E71" s="799"/>
      <c r="F71" s="799"/>
      <c r="G71" s="228"/>
      <c r="H71" s="228"/>
      <c r="I71" s="228"/>
      <c r="J71" s="228"/>
      <c r="K71" s="228"/>
      <c r="L71" s="71"/>
      <c r="M71" s="10"/>
    </row>
    <row r="72" spans="1:16" x14ac:dyDescent="0.3">
      <c r="A72" s="7"/>
      <c r="B72" s="540"/>
      <c r="C72" s="541"/>
      <c r="D72" s="799" t="str">
        <f>"$ / "&amp;IF(Intro!$G$20="English",Variables!$B$24,Variables!$C$24)</f>
        <v>$ / tonne</v>
      </c>
      <c r="E72" s="799"/>
      <c r="F72" s="799"/>
      <c r="G72" s="298" t="str">
        <f>IF(G70=0,"-",G71/G70)</f>
        <v>-</v>
      </c>
      <c r="H72" s="298" t="str">
        <f t="shared" ref="H72:K72" si="7">IF(H70=0,"-",H71/H70)</f>
        <v>-</v>
      </c>
      <c r="I72" s="298" t="str">
        <f t="shared" si="7"/>
        <v>-</v>
      </c>
      <c r="J72" s="298" t="str">
        <f t="shared" si="7"/>
        <v>-</v>
      </c>
      <c r="K72" s="298" t="str">
        <f t="shared" si="7"/>
        <v>-</v>
      </c>
      <c r="L72" s="71"/>
      <c r="M72" s="10"/>
    </row>
    <row r="73" spans="1:16" x14ac:dyDescent="0.3">
      <c r="A73" s="7"/>
      <c r="B73" s="72"/>
      <c r="C73" s="84"/>
      <c r="D73" s="84"/>
      <c r="E73" s="84"/>
      <c r="F73" s="84"/>
      <c r="G73" s="84"/>
      <c r="H73" s="84"/>
      <c r="I73" s="84"/>
      <c r="J73" s="84"/>
      <c r="K73" s="84"/>
      <c r="L73" s="85"/>
      <c r="M73" s="10"/>
    </row>
    <row r="74" spans="1:16" s="275" customFormat="1" x14ac:dyDescent="0.3">
      <c r="A74" s="7"/>
      <c r="B74" s="650" t="s">
        <v>17</v>
      </c>
      <c r="C74" s="651"/>
      <c r="D74" s="651"/>
      <c r="E74" s="651"/>
      <c r="F74" s="651"/>
      <c r="G74" s="651"/>
      <c r="H74" s="651"/>
      <c r="I74" s="651"/>
      <c r="J74" s="651"/>
      <c r="K74" s="651"/>
      <c r="L74" s="652"/>
      <c r="M74" s="73"/>
      <c r="O74" s="10"/>
    </row>
    <row r="75" spans="1:16" x14ac:dyDescent="0.3">
      <c r="A75" s="7"/>
      <c r="B75" s="74"/>
      <c r="C75" s="75"/>
      <c r="D75" s="75"/>
      <c r="E75" s="75"/>
      <c r="F75" s="75"/>
      <c r="G75" s="75"/>
      <c r="H75" s="75"/>
      <c r="I75" s="75"/>
      <c r="J75" s="75"/>
      <c r="K75" s="75"/>
      <c r="L75" s="276"/>
      <c r="M75" s="10"/>
    </row>
    <row r="76" spans="1:16" ht="14.1" customHeight="1" x14ac:dyDescent="0.3">
      <c r="A76" s="7"/>
      <c r="B76" s="500" t="str">
        <f>IF(Intro!$G$20="English",O76,P76)</f>
        <v>Using data provided in Question 1 in the country tabs with the data provided in Question 3 on the Invent-Stock tab, the questionnaire calculates ending inventory as follows:</v>
      </c>
      <c r="C76" s="501"/>
      <c r="D76" s="501"/>
      <c r="E76" s="501"/>
      <c r="F76" s="501"/>
      <c r="G76" s="501"/>
      <c r="H76" s="501"/>
      <c r="I76" s="501"/>
      <c r="J76" s="501"/>
      <c r="K76" s="501"/>
      <c r="L76" s="502"/>
      <c r="M76" s="10"/>
      <c r="O76" s="10" t="s">
        <v>572</v>
      </c>
      <c r="P76" s="10" t="s">
        <v>573</v>
      </c>
    </row>
    <row r="77" spans="1:16" x14ac:dyDescent="0.3">
      <c r="A77" s="7"/>
      <c r="B77" s="74"/>
      <c r="C77" s="75"/>
      <c r="D77" s="75"/>
      <c r="E77" s="75"/>
      <c r="F77" s="75"/>
      <c r="G77" s="75"/>
      <c r="H77" s="75"/>
      <c r="I77" s="75"/>
      <c r="J77" s="75"/>
      <c r="K77" s="75"/>
      <c r="L77" s="276"/>
      <c r="M77" s="10"/>
    </row>
    <row r="78" spans="1:16" x14ac:dyDescent="0.3">
      <c r="A78" s="7"/>
      <c r="B78" s="816" t="str">
        <f>B62</f>
        <v>Stamped</v>
      </c>
      <c r="C78" s="817"/>
      <c r="D78" s="817"/>
      <c r="E78" s="817"/>
      <c r="F78" s="818"/>
      <c r="G78" s="728">
        <f t="shared" ref="G78:K78" si="8">G62</f>
        <v>2023</v>
      </c>
      <c r="H78" s="728">
        <f t="shared" si="8"/>
        <v>2024</v>
      </c>
      <c r="I78" s="728">
        <f t="shared" si="8"/>
        <v>2025</v>
      </c>
      <c r="J78" s="728" t="str">
        <f t="shared" si="8"/>
        <v>Jan-Mar 2025</v>
      </c>
      <c r="K78" s="728" t="str">
        <f t="shared" si="8"/>
        <v>Jan-Mar 2026</v>
      </c>
      <c r="L78" s="71"/>
      <c r="M78" s="10"/>
      <c r="O78" s="18"/>
    </row>
    <row r="79" spans="1:16" x14ac:dyDescent="0.3">
      <c r="A79" s="7"/>
      <c r="B79" s="819"/>
      <c r="C79" s="820"/>
      <c r="D79" s="820"/>
      <c r="E79" s="820"/>
      <c r="F79" s="821"/>
      <c r="G79" s="728"/>
      <c r="H79" s="728"/>
      <c r="I79" s="728"/>
      <c r="J79" s="728"/>
      <c r="K79" s="728"/>
      <c r="L79" s="71"/>
      <c r="M79" s="10"/>
      <c r="O79" s="18"/>
    </row>
    <row r="80" spans="1:16" x14ac:dyDescent="0.3">
      <c r="A80" s="7"/>
      <c r="B80" s="540" t="str">
        <f>B70</f>
        <v>Ending inventory</v>
      </c>
      <c r="C80" s="541"/>
      <c r="D80" s="541"/>
      <c r="E80" s="823" t="str">
        <f>IF(Intro!$G$20="English",Variables!$B$23,Variables!$C$23)</f>
        <v>tonnes</v>
      </c>
      <c r="F80" s="823"/>
      <c r="G80" s="226">
        <f>G64+SUM(Begin:End!G43)-SUM(Begin:End!G53)-G67</f>
        <v>0</v>
      </c>
      <c r="H80" s="226">
        <f>H64+SUM(Begin:End!H43)-SUM(Begin:End!H53)-H67</f>
        <v>0</v>
      </c>
      <c r="I80" s="226">
        <f>I64+SUM(Begin:End!I43)-SUM(Begin:End!I53)-I67</f>
        <v>0</v>
      </c>
      <c r="J80" s="226">
        <f>J64+SUM(Begin:End!J43)-SUM(Begin:End!J53)-J67</f>
        <v>0</v>
      </c>
      <c r="K80" s="226">
        <f>K64+SUM(Begin:End!K43)-SUM(Begin:End!K53)-K67</f>
        <v>0</v>
      </c>
      <c r="L80" s="71"/>
      <c r="M80" s="10"/>
    </row>
    <row r="81" spans="1:16" ht="14.1" customHeight="1" x14ac:dyDescent="0.3">
      <c r="A81" s="7"/>
      <c r="B81" s="540" t="str">
        <f>IF(Intro!$G$20="English",O81,P81)</f>
        <v>Difference between ending inventory in Question 3 on the Invent-Stock tab and the calculated ending inventory</v>
      </c>
      <c r="C81" s="541"/>
      <c r="D81" s="541"/>
      <c r="E81" s="823" t="str">
        <f>IF(Intro!$G$20="English",Variables!$B$23,Variables!$C$23)</f>
        <v>tonnes</v>
      </c>
      <c r="F81" s="823"/>
      <c r="G81" s="822">
        <f>G70-G80</f>
        <v>0</v>
      </c>
      <c r="H81" s="822">
        <f>H70-H80</f>
        <v>0</v>
      </c>
      <c r="I81" s="822">
        <f>I70-I80</f>
        <v>0</v>
      </c>
      <c r="J81" s="822">
        <f>J70-J80</f>
        <v>0</v>
      </c>
      <c r="K81" s="822">
        <f>K70-K80</f>
        <v>0</v>
      </c>
      <c r="L81" s="71"/>
      <c r="M81" s="10"/>
      <c r="O81" s="10" t="s">
        <v>574</v>
      </c>
      <c r="P81" s="10" t="s">
        <v>583</v>
      </c>
    </row>
    <row r="82" spans="1:16" x14ac:dyDescent="0.3">
      <c r="A82" s="7"/>
      <c r="B82" s="540"/>
      <c r="C82" s="541"/>
      <c r="D82" s="541"/>
      <c r="E82" s="823"/>
      <c r="F82" s="823"/>
      <c r="G82" s="822"/>
      <c r="H82" s="822"/>
      <c r="I82" s="822"/>
      <c r="J82" s="822"/>
      <c r="K82" s="822"/>
      <c r="L82" s="71"/>
      <c r="M82" s="10"/>
    </row>
    <row r="83" spans="1:16" x14ac:dyDescent="0.3">
      <c r="A83" s="7"/>
      <c r="B83" s="540"/>
      <c r="C83" s="541"/>
      <c r="D83" s="541"/>
      <c r="E83" s="823"/>
      <c r="F83" s="823"/>
      <c r="G83" s="822"/>
      <c r="H83" s="822"/>
      <c r="I83" s="822"/>
      <c r="J83" s="822"/>
      <c r="K83" s="822"/>
      <c r="L83" s="71"/>
      <c r="M83" s="10"/>
    </row>
    <row r="84" spans="1:16" x14ac:dyDescent="0.3">
      <c r="A84" s="7"/>
      <c r="B84" s="74"/>
      <c r="C84" s="75"/>
      <c r="D84" s="75"/>
      <c r="E84" s="75"/>
      <c r="F84" s="75"/>
      <c r="G84" s="75"/>
      <c r="H84" s="75"/>
      <c r="I84" s="75"/>
      <c r="J84" s="75"/>
      <c r="K84" s="75"/>
      <c r="L84" s="276"/>
      <c r="M84" s="10"/>
    </row>
    <row r="85" spans="1:16" x14ac:dyDescent="0.3">
      <c r="A85" s="7"/>
      <c r="B85" s="625" t="str">
        <f>IF(Intro!$G$20="English",O85,P85)</f>
        <v>If the volume of ending inventory in Question 3 on the Invent-Stock tab differs from the calculated ending inventory, explain why there is a difference.</v>
      </c>
      <c r="C85" s="626"/>
      <c r="D85" s="626"/>
      <c r="E85" s="626"/>
      <c r="F85" s="626"/>
      <c r="G85" s="626"/>
      <c r="H85" s="626"/>
      <c r="I85" s="626"/>
      <c r="J85" s="626"/>
      <c r="K85" s="626"/>
      <c r="L85" s="627"/>
      <c r="M85" s="10"/>
      <c r="O85" s="27" t="s">
        <v>575</v>
      </c>
      <c r="P85" s="10" t="s">
        <v>582</v>
      </c>
    </row>
    <row r="86" spans="1:16" x14ac:dyDescent="0.3">
      <c r="A86" s="7"/>
      <c r="B86" s="74"/>
      <c r="C86" s="75"/>
      <c r="D86" s="75"/>
      <c r="E86" s="75"/>
      <c r="F86" s="75"/>
      <c r="G86" s="75"/>
      <c r="H86" s="75"/>
      <c r="I86" s="75"/>
      <c r="J86" s="75"/>
      <c r="K86" s="75"/>
      <c r="L86" s="276"/>
      <c r="M86" s="10"/>
    </row>
    <row r="87" spans="1:16" s="275" customFormat="1" x14ac:dyDescent="0.3">
      <c r="A87" s="7"/>
      <c r="B87" s="639"/>
      <c r="C87" s="640"/>
      <c r="D87" s="640"/>
      <c r="E87" s="640"/>
      <c r="F87" s="640"/>
      <c r="G87" s="640"/>
      <c r="H87" s="640"/>
      <c r="I87" s="640"/>
      <c r="J87" s="640"/>
      <c r="K87" s="640"/>
      <c r="L87" s="641"/>
      <c r="M87" s="38"/>
    </row>
    <row r="88" spans="1:16" s="275" customFormat="1" x14ac:dyDescent="0.3">
      <c r="A88" s="7"/>
      <c r="B88" s="639"/>
      <c r="C88" s="640"/>
      <c r="D88" s="640"/>
      <c r="E88" s="640"/>
      <c r="F88" s="640"/>
      <c r="G88" s="640"/>
      <c r="H88" s="640"/>
      <c r="I88" s="640"/>
      <c r="J88" s="640"/>
      <c r="K88" s="640"/>
      <c r="L88" s="641"/>
      <c r="M88" s="38"/>
    </row>
    <row r="89" spans="1:16" s="275" customFormat="1" x14ac:dyDescent="0.3">
      <c r="A89" s="7"/>
      <c r="B89" s="639"/>
      <c r="C89" s="640"/>
      <c r="D89" s="640"/>
      <c r="E89" s="640"/>
      <c r="F89" s="640"/>
      <c r="G89" s="640"/>
      <c r="H89" s="640"/>
      <c r="I89" s="640"/>
      <c r="J89" s="640"/>
      <c r="K89" s="640"/>
      <c r="L89" s="641"/>
      <c r="M89" s="38"/>
    </row>
    <row r="90" spans="1:16" s="275" customFormat="1" x14ac:dyDescent="0.3">
      <c r="A90" s="7"/>
      <c r="B90" s="639"/>
      <c r="C90" s="640"/>
      <c r="D90" s="640"/>
      <c r="E90" s="640"/>
      <c r="F90" s="640"/>
      <c r="G90" s="640"/>
      <c r="H90" s="640"/>
      <c r="I90" s="640"/>
      <c r="J90" s="640"/>
      <c r="K90" s="640"/>
      <c r="L90" s="641"/>
      <c r="M90" s="38"/>
    </row>
    <row r="91" spans="1:16" s="275" customFormat="1" x14ac:dyDescent="0.3">
      <c r="A91" s="7"/>
      <c r="B91" s="639"/>
      <c r="C91" s="640"/>
      <c r="D91" s="640"/>
      <c r="E91" s="640"/>
      <c r="F91" s="640"/>
      <c r="G91" s="640"/>
      <c r="H91" s="640"/>
      <c r="I91" s="640"/>
      <c r="J91" s="640"/>
      <c r="K91" s="640"/>
      <c r="L91" s="641"/>
      <c r="M91" s="38"/>
    </row>
    <row r="92" spans="1:16" s="275" customFormat="1" x14ac:dyDescent="0.3">
      <c r="A92" s="7"/>
      <c r="B92" s="639"/>
      <c r="C92" s="640"/>
      <c r="D92" s="640"/>
      <c r="E92" s="640"/>
      <c r="F92" s="640"/>
      <c r="G92" s="640"/>
      <c r="H92" s="640"/>
      <c r="I92" s="640"/>
      <c r="J92" s="640"/>
      <c r="K92" s="640"/>
      <c r="L92" s="641"/>
      <c r="M92" s="38"/>
    </row>
    <row r="93" spans="1:16" s="275" customFormat="1" x14ac:dyDescent="0.3">
      <c r="A93" s="7"/>
      <c r="B93" s="639"/>
      <c r="C93" s="640"/>
      <c r="D93" s="640"/>
      <c r="E93" s="640"/>
      <c r="F93" s="640"/>
      <c r="G93" s="640"/>
      <c r="H93" s="640"/>
      <c r="I93" s="640"/>
      <c r="J93" s="640"/>
      <c r="K93" s="640"/>
      <c r="L93" s="641"/>
      <c r="M93" s="38"/>
    </row>
    <row r="94" spans="1:16" s="275" customFormat="1" x14ac:dyDescent="0.3">
      <c r="A94" s="7"/>
      <c r="B94" s="639"/>
      <c r="C94" s="640"/>
      <c r="D94" s="640"/>
      <c r="E94" s="640"/>
      <c r="F94" s="640"/>
      <c r="G94" s="640"/>
      <c r="H94" s="640"/>
      <c r="I94" s="640"/>
      <c r="J94" s="640"/>
      <c r="K94" s="640"/>
      <c r="L94" s="641"/>
      <c r="M94" s="38"/>
    </row>
    <row r="95" spans="1:16" x14ac:dyDescent="0.3">
      <c r="A95" s="7"/>
      <c r="B95" s="72"/>
      <c r="C95" s="84"/>
      <c r="D95" s="84"/>
      <c r="E95" s="84"/>
      <c r="F95" s="84"/>
      <c r="G95" s="84"/>
      <c r="H95" s="84"/>
      <c r="I95" s="84"/>
      <c r="J95" s="84"/>
      <c r="K95" s="84"/>
      <c r="L95" s="85"/>
      <c r="M95" s="10"/>
    </row>
    <row r="96" spans="1:16" x14ac:dyDescent="0.3">
      <c r="A96" s="7"/>
      <c r="B96" s="647" t="s">
        <v>18</v>
      </c>
      <c r="C96" s="648"/>
      <c r="D96" s="648"/>
      <c r="E96" s="648"/>
      <c r="F96" s="648"/>
      <c r="G96" s="648"/>
      <c r="H96" s="648"/>
      <c r="I96" s="648"/>
      <c r="J96" s="648"/>
      <c r="K96" s="648"/>
      <c r="L96" s="649"/>
      <c r="M96" s="10"/>
    </row>
    <row r="97" spans="1:16" x14ac:dyDescent="0.3">
      <c r="A97" s="7"/>
      <c r="B97" s="16"/>
      <c r="C97" s="35"/>
      <c r="D97" s="36"/>
      <c r="E97" s="36"/>
      <c r="F97" s="36"/>
      <c r="G97" s="36"/>
      <c r="H97" s="36"/>
      <c r="I97" s="36"/>
      <c r="J97" s="36"/>
      <c r="K97" s="36"/>
      <c r="L97" s="17"/>
      <c r="M97" s="10"/>
    </row>
    <row r="98" spans="1:16" x14ac:dyDescent="0.3">
      <c r="A98" s="7"/>
      <c r="B98" s="503" t="str">
        <f>IF(Intro!$G$20="English",O98,P98)</f>
        <v>Provide your firm's inventories and export sales of imports of the goods.</v>
      </c>
      <c r="C98" s="504"/>
      <c r="D98" s="504"/>
      <c r="E98" s="504"/>
      <c r="F98" s="504"/>
      <c r="G98" s="504"/>
      <c r="H98" s="504"/>
      <c r="I98" s="504"/>
      <c r="J98" s="504"/>
      <c r="K98" s="504"/>
      <c r="L98" s="505"/>
      <c r="M98" s="10"/>
      <c r="O98" s="18" t="s">
        <v>173</v>
      </c>
      <c r="P98" s="18" t="s">
        <v>85</v>
      </c>
    </row>
    <row r="99" spans="1:16" x14ac:dyDescent="0.3">
      <c r="A99" s="7"/>
      <c r="B99" s="273"/>
      <c r="C99" s="35"/>
      <c r="D99" s="36"/>
      <c r="E99" s="36"/>
      <c r="F99" s="36"/>
      <c r="G99" s="36"/>
      <c r="H99" s="36"/>
      <c r="I99" s="36"/>
      <c r="J99" s="36"/>
      <c r="K99" s="36"/>
      <c r="L99" s="17"/>
      <c r="M99" s="10"/>
      <c r="O99" s="18"/>
    </row>
    <row r="100" spans="1:16" x14ac:dyDescent="0.3">
      <c r="A100" s="7"/>
      <c r="B100" s="816" t="str">
        <f>IF(Intro!$G$20="English",O100,P100)</f>
        <v>Unfinished (Green Balls)</v>
      </c>
      <c r="C100" s="817"/>
      <c r="D100" s="817"/>
      <c r="E100" s="817"/>
      <c r="F100" s="818"/>
      <c r="G100" s="728">
        <f t="shared" ref="G100:K100" si="9">G62</f>
        <v>2023</v>
      </c>
      <c r="H100" s="728">
        <f t="shared" si="9"/>
        <v>2024</v>
      </c>
      <c r="I100" s="728">
        <f t="shared" si="9"/>
        <v>2025</v>
      </c>
      <c r="J100" s="728" t="str">
        <f t="shared" si="9"/>
        <v>Jan-Mar 2025</v>
      </c>
      <c r="K100" s="728" t="str">
        <f t="shared" si="9"/>
        <v>Jan-Mar 2026</v>
      </c>
      <c r="L100" s="71"/>
      <c r="M100" s="10"/>
      <c r="O100" s="18" t="str">
        <f>Variables!B72</f>
        <v>Unfinished (Green Balls)</v>
      </c>
      <c r="P100" s="10" t="str">
        <f>Variables!C72</f>
        <v>Non finis (les boulets verts)</v>
      </c>
    </row>
    <row r="101" spans="1:16" x14ac:dyDescent="0.3">
      <c r="A101" s="7"/>
      <c r="B101" s="819"/>
      <c r="C101" s="820"/>
      <c r="D101" s="820"/>
      <c r="E101" s="820"/>
      <c r="F101" s="821"/>
      <c r="G101" s="728"/>
      <c r="H101" s="728"/>
      <c r="I101" s="728"/>
      <c r="J101" s="728"/>
      <c r="K101" s="728"/>
      <c r="L101" s="71"/>
      <c r="M101" s="10"/>
      <c r="O101" s="18"/>
    </row>
    <row r="102" spans="1:16" x14ac:dyDescent="0.3">
      <c r="A102" s="7"/>
      <c r="B102" s="540" t="str">
        <f>IF(Intro!$G$20="English",O102,P102)</f>
        <v>Beginning inventory</v>
      </c>
      <c r="C102" s="541"/>
      <c r="D102" s="799" t="str">
        <f>IF(Intro!$G$20="English",Variables!$B$23,Variables!$C$23)</f>
        <v>tonnes</v>
      </c>
      <c r="E102" s="799"/>
      <c r="F102" s="799"/>
      <c r="G102" s="228"/>
      <c r="H102" s="229">
        <f>G108</f>
        <v>0</v>
      </c>
      <c r="I102" s="229">
        <f>H108</f>
        <v>0</v>
      </c>
      <c r="J102" s="229">
        <f>H108</f>
        <v>0</v>
      </c>
      <c r="K102" s="229">
        <f>I108</f>
        <v>0</v>
      </c>
      <c r="L102" s="71"/>
      <c r="M102" s="10"/>
      <c r="O102" s="10" t="s">
        <v>144</v>
      </c>
      <c r="P102" s="10" t="s">
        <v>145</v>
      </c>
    </row>
    <row r="103" spans="1:16" x14ac:dyDescent="0.3">
      <c r="A103" s="7"/>
      <c r="B103" s="540"/>
      <c r="C103" s="541"/>
      <c r="D103" s="799" t="s">
        <v>237</v>
      </c>
      <c r="E103" s="799"/>
      <c r="F103" s="799"/>
      <c r="G103" s="228"/>
      <c r="H103" s="229">
        <f>G109</f>
        <v>0</v>
      </c>
      <c r="I103" s="229">
        <f>H109</f>
        <v>0</v>
      </c>
      <c r="J103" s="229">
        <f>H109</f>
        <v>0</v>
      </c>
      <c r="K103" s="229">
        <f>I109</f>
        <v>0</v>
      </c>
      <c r="L103" s="71"/>
      <c r="M103" s="10"/>
    </row>
    <row r="104" spans="1:16" ht="15" thickBot="1" x14ac:dyDescent="0.35">
      <c r="A104" s="7"/>
      <c r="B104" s="752"/>
      <c r="C104" s="753"/>
      <c r="D104" s="797" t="str">
        <f>"$ / "&amp;IF(Intro!$G$20="English",Variables!$B$24,Variables!$C$24)</f>
        <v>$ / tonne</v>
      </c>
      <c r="E104" s="797"/>
      <c r="F104" s="797"/>
      <c r="G104" s="297" t="str">
        <f>IF(G102=0,"-",G103/G102)</f>
        <v>-</v>
      </c>
      <c r="H104" s="297" t="str">
        <f>IF(H102=0,"-",H103/H102)</f>
        <v>-</v>
      </c>
      <c r="I104" s="297" t="str">
        <f>IF(I102=0,"-",I103/I102)</f>
        <v>-</v>
      </c>
      <c r="J104" s="297" t="str">
        <f>IF(J102=0,"-",J103/J102)</f>
        <v>-</v>
      </c>
      <c r="K104" s="297" t="str">
        <f>IF(K102=0,"-",K103/K102)</f>
        <v>-</v>
      </c>
      <c r="L104" s="71"/>
      <c r="M104" s="10"/>
    </row>
    <row r="105" spans="1:16" x14ac:dyDescent="0.3">
      <c r="A105" s="7"/>
      <c r="B105" s="754" t="str">
        <f>IF(Intro!$G$20="English",O105,P105)</f>
        <v>Export sales</v>
      </c>
      <c r="C105" s="755"/>
      <c r="D105" s="798" t="str">
        <f>IF(Intro!$G$20="English",Variables!$B$23,Variables!$C$23)</f>
        <v>tonnes</v>
      </c>
      <c r="E105" s="798"/>
      <c r="F105" s="798"/>
      <c r="G105" s="230"/>
      <c r="H105" s="230"/>
      <c r="I105" s="230"/>
      <c r="J105" s="230"/>
      <c r="K105" s="230"/>
      <c r="L105" s="71"/>
      <c r="M105" s="10"/>
      <c r="O105" s="10" t="s">
        <v>266</v>
      </c>
      <c r="P105" s="10" t="s">
        <v>146</v>
      </c>
    </row>
    <row r="106" spans="1:16" x14ac:dyDescent="0.3">
      <c r="A106" s="7"/>
      <c r="B106" s="540"/>
      <c r="C106" s="541"/>
      <c r="D106" s="799" t="s">
        <v>237</v>
      </c>
      <c r="E106" s="799"/>
      <c r="F106" s="799"/>
      <c r="G106" s="228"/>
      <c r="H106" s="228"/>
      <c r="I106" s="228"/>
      <c r="J106" s="228"/>
      <c r="K106" s="228"/>
      <c r="L106" s="71"/>
      <c r="M106" s="10"/>
    </row>
    <row r="107" spans="1:16" ht="15" thickBot="1" x14ac:dyDescent="0.35">
      <c r="A107" s="7"/>
      <c r="B107" s="752"/>
      <c r="C107" s="753"/>
      <c r="D107" s="797" t="str">
        <f>"$ / "&amp;IF(Intro!$G$20="English",Variables!$B$24,Variables!$C$24)</f>
        <v>$ / tonne</v>
      </c>
      <c r="E107" s="797"/>
      <c r="F107" s="797"/>
      <c r="G107" s="297" t="str">
        <f>IF(G105=0,"-",G106/G105)</f>
        <v>-</v>
      </c>
      <c r="H107" s="297" t="str">
        <f>IF(H105=0,"-",H106/H105)</f>
        <v>-</v>
      </c>
      <c r="I107" s="297" t="str">
        <f t="shared" ref="I107:K107" si="10">IF(I105=0,"-",I106/I105)</f>
        <v>-</v>
      </c>
      <c r="J107" s="297" t="str">
        <f t="shared" si="10"/>
        <v>-</v>
      </c>
      <c r="K107" s="297" t="str">
        <f t="shared" si="10"/>
        <v>-</v>
      </c>
      <c r="L107" s="71"/>
      <c r="M107" s="10"/>
    </row>
    <row r="108" spans="1:16" x14ac:dyDescent="0.3">
      <c r="A108" s="7"/>
      <c r="B108" s="570" t="str">
        <f>IF(Intro!$G$20="English",O108,P108)</f>
        <v>Ending inventory</v>
      </c>
      <c r="C108" s="571"/>
      <c r="D108" s="824" t="str">
        <f>IF(Intro!$G$20="English",Variables!$B$23,Variables!$C$23)</f>
        <v>tonnes</v>
      </c>
      <c r="E108" s="824"/>
      <c r="F108" s="824"/>
      <c r="G108" s="231"/>
      <c r="H108" s="231"/>
      <c r="I108" s="231"/>
      <c r="J108" s="231"/>
      <c r="K108" s="231"/>
      <c r="L108" s="71"/>
      <c r="M108" s="10"/>
      <c r="O108" s="10" t="s">
        <v>147</v>
      </c>
      <c r="P108" s="10" t="s">
        <v>439</v>
      </c>
    </row>
    <row r="109" spans="1:16" x14ac:dyDescent="0.3">
      <c r="A109" s="7"/>
      <c r="B109" s="540"/>
      <c r="C109" s="541"/>
      <c r="D109" s="799" t="s">
        <v>237</v>
      </c>
      <c r="E109" s="799"/>
      <c r="F109" s="799"/>
      <c r="G109" s="228"/>
      <c r="H109" s="228"/>
      <c r="I109" s="228"/>
      <c r="J109" s="228"/>
      <c r="K109" s="228"/>
      <c r="L109" s="71"/>
      <c r="M109" s="10"/>
    </row>
    <row r="110" spans="1:16" x14ac:dyDescent="0.3">
      <c r="A110" s="7"/>
      <c r="B110" s="540"/>
      <c r="C110" s="541"/>
      <c r="D110" s="799" t="str">
        <f>"$ / "&amp;IF(Intro!$G$20="English",Variables!$B$24,Variables!$C$24)</f>
        <v>$ / tonne</v>
      </c>
      <c r="E110" s="799"/>
      <c r="F110" s="799"/>
      <c r="G110" s="298" t="str">
        <f>IF(G108=0,"-",G109/G108)</f>
        <v>-</v>
      </c>
      <c r="H110" s="298" t="str">
        <f t="shared" ref="H110:K110" si="11">IF(H108=0,"-",H109/H108)</f>
        <v>-</v>
      </c>
      <c r="I110" s="298" t="str">
        <f t="shared" si="11"/>
        <v>-</v>
      </c>
      <c r="J110" s="298" t="str">
        <f t="shared" si="11"/>
        <v>-</v>
      </c>
      <c r="K110" s="298" t="str">
        <f t="shared" si="11"/>
        <v>-</v>
      </c>
      <c r="L110" s="71"/>
      <c r="M110" s="10"/>
    </row>
    <row r="111" spans="1:16" x14ac:dyDescent="0.3">
      <c r="A111" s="7"/>
      <c r="B111" s="72"/>
      <c r="C111" s="84"/>
      <c r="D111" s="84"/>
      <c r="E111" s="84"/>
      <c r="F111" s="84"/>
      <c r="G111" s="84"/>
      <c r="H111" s="84"/>
      <c r="I111" s="84"/>
      <c r="J111" s="84"/>
      <c r="K111" s="84"/>
      <c r="L111" s="85"/>
      <c r="M111" s="10"/>
    </row>
    <row r="112" spans="1:16" s="275" customFormat="1" x14ac:dyDescent="0.3">
      <c r="A112" s="7"/>
      <c r="B112" s="650" t="s">
        <v>19</v>
      </c>
      <c r="C112" s="651"/>
      <c r="D112" s="651"/>
      <c r="E112" s="651"/>
      <c r="F112" s="651"/>
      <c r="G112" s="651"/>
      <c r="H112" s="651"/>
      <c r="I112" s="651"/>
      <c r="J112" s="651"/>
      <c r="K112" s="651"/>
      <c r="L112" s="652"/>
      <c r="M112" s="73"/>
      <c r="O112" s="10"/>
    </row>
    <row r="113" spans="1:16" x14ac:dyDescent="0.3">
      <c r="A113" s="7"/>
      <c r="B113" s="74"/>
      <c r="C113" s="75"/>
      <c r="D113" s="75"/>
      <c r="E113" s="75"/>
      <c r="F113" s="75"/>
      <c r="G113" s="75"/>
      <c r="H113" s="75"/>
      <c r="I113" s="75"/>
      <c r="J113" s="75"/>
      <c r="K113" s="75"/>
      <c r="L113" s="276"/>
      <c r="M113" s="10"/>
    </row>
    <row r="114" spans="1:16" ht="14.1" customHeight="1" x14ac:dyDescent="0.3">
      <c r="A114" s="7"/>
      <c r="B114" s="500" t="str">
        <f>IF(Intro!$G$20="English",O114,P114)</f>
        <v>Using data provided in Question 1 in the country tabs with the data provided in Question 5 on the Invent-Stock tab, the questionnaire calculates ending inventory as follows:</v>
      </c>
      <c r="C114" s="501"/>
      <c r="D114" s="501"/>
      <c r="E114" s="501"/>
      <c r="F114" s="501"/>
      <c r="G114" s="501"/>
      <c r="H114" s="501"/>
      <c r="I114" s="501"/>
      <c r="J114" s="501"/>
      <c r="K114" s="501"/>
      <c r="L114" s="502"/>
      <c r="M114" s="10"/>
      <c r="O114" s="10" t="s">
        <v>576</v>
      </c>
      <c r="P114" s="10" t="s">
        <v>577</v>
      </c>
    </row>
    <row r="115" spans="1:16" x14ac:dyDescent="0.3">
      <c r="A115" s="7"/>
      <c r="B115" s="74"/>
      <c r="C115" s="75"/>
      <c r="D115" s="75"/>
      <c r="E115" s="75"/>
      <c r="F115" s="75"/>
      <c r="G115" s="75"/>
      <c r="H115" s="75"/>
      <c r="I115" s="75"/>
      <c r="J115" s="75"/>
      <c r="K115" s="75"/>
      <c r="L115" s="276"/>
      <c r="M115" s="10"/>
    </row>
    <row r="116" spans="1:16" x14ac:dyDescent="0.3">
      <c r="A116" s="7"/>
      <c r="B116" s="816" t="str">
        <f>B100</f>
        <v>Unfinished (Green Balls)</v>
      </c>
      <c r="C116" s="817"/>
      <c r="D116" s="817"/>
      <c r="E116" s="817"/>
      <c r="F116" s="818"/>
      <c r="G116" s="728">
        <f t="shared" ref="G116:K116" si="12">G62</f>
        <v>2023</v>
      </c>
      <c r="H116" s="728">
        <f t="shared" si="12"/>
        <v>2024</v>
      </c>
      <c r="I116" s="728">
        <f t="shared" si="12"/>
        <v>2025</v>
      </c>
      <c r="J116" s="728" t="str">
        <f t="shared" si="12"/>
        <v>Jan-Mar 2025</v>
      </c>
      <c r="K116" s="728" t="str">
        <f t="shared" si="12"/>
        <v>Jan-Mar 2026</v>
      </c>
      <c r="L116" s="71"/>
      <c r="M116" s="10"/>
      <c r="O116" s="18"/>
    </row>
    <row r="117" spans="1:16" x14ac:dyDescent="0.3">
      <c r="A117" s="7"/>
      <c r="B117" s="819"/>
      <c r="C117" s="820"/>
      <c r="D117" s="820"/>
      <c r="E117" s="820"/>
      <c r="F117" s="821"/>
      <c r="G117" s="728"/>
      <c r="H117" s="728"/>
      <c r="I117" s="728"/>
      <c r="J117" s="728"/>
      <c r="K117" s="728"/>
      <c r="L117" s="71"/>
      <c r="M117" s="10"/>
      <c r="O117" s="18"/>
    </row>
    <row r="118" spans="1:16" x14ac:dyDescent="0.3">
      <c r="A118" s="7"/>
      <c r="B118" s="540" t="str">
        <f>B108</f>
        <v>Ending inventory</v>
      </c>
      <c r="C118" s="541"/>
      <c r="D118" s="541"/>
      <c r="E118" s="823" t="str">
        <f>IF(Intro!$G$20="English",Variables!$B$23,Variables!$C$23)</f>
        <v>tonnes</v>
      </c>
      <c r="F118" s="823"/>
      <c r="G118" s="226">
        <f>G102+SUM(Begin:End!G59)-SUM(Begin:End!G69)-G105</f>
        <v>0</v>
      </c>
      <c r="H118" s="226">
        <f>H102+SUM(Begin:End!H59)-SUM(Begin:End!H69)-H105</f>
        <v>0</v>
      </c>
      <c r="I118" s="226">
        <f>I102+SUM(Begin:End!I59)-SUM(Begin:End!I69)-I105</f>
        <v>0</v>
      </c>
      <c r="J118" s="226">
        <f>J102+SUM(Begin:End!J59)-SUM(Begin:End!J69)-J105</f>
        <v>0</v>
      </c>
      <c r="K118" s="226">
        <f>K102+SUM(Begin:End!K59)-SUM(Begin:End!K69)-K105</f>
        <v>0</v>
      </c>
      <c r="L118" s="71"/>
      <c r="M118" s="10"/>
    </row>
    <row r="119" spans="1:16" ht="14.1" customHeight="1" x14ac:dyDescent="0.3">
      <c r="A119" s="7"/>
      <c r="B119" s="540" t="str">
        <f>IF(Intro!$G$20="English",O119,P119)</f>
        <v>Difference between ending inventory in Question 5 on the Invent-Stock tab and the calculated ending inventory</v>
      </c>
      <c r="C119" s="541"/>
      <c r="D119" s="541"/>
      <c r="E119" s="823" t="str">
        <f>IF(Intro!$G$20="English",Variables!$B$23,Variables!$C$23)</f>
        <v>tonnes</v>
      </c>
      <c r="F119" s="823"/>
      <c r="G119" s="822">
        <f>G108-G118</f>
        <v>0</v>
      </c>
      <c r="H119" s="822">
        <f>H108-H118</f>
        <v>0</v>
      </c>
      <c r="I119" s="822">
        <f>I108-I118</f>
        <v>0</v>
      </c>
      <c r="J119" s="822">
        <f>J108-J118</f>
        <v>0</v>
      </c>
      <c r="K119" s="822">
        <f>K108-K118</f>
        <v>0</v>
      </c>
      <c r="L119" s="71"/>
      <c r="M119" s="10"/>
      <c r="O119" s="10" t="s">
        <v>578</v>
      </c>
      <c r="P119" s="10" t="s">
        <v>579</v>
      </c>
    </row>
    <row r="120" spans="1:16" x14ac:dyDescent="0.3">
      <c r="A120" s="7"/>
      <c r="B120" s="540"/>
      <c r="C120" s="541"/>
      <c r="D120" s="541"/>
      <c r="E120" s="823"/>
      <c r="F120" s="823"/>
      <c r="G120" s="822"/>
      <c r="H120" s="822"/>
      <c r="I120" s="822"/>
      <c r="J120" s="822"/>
      <c r="K120" s="822"/>
      <c r="L120" s="71"/>
      <c r="M120" s="10"/>
    </row>
    <row r="121" spans="1:16" x14ac:dyDescent="0.3">
      <c r="A121" s="7"/>
      <c r="B121" s="540"/>
      <c r="C121" s="541"/>
      <c r="D121" s="541"/>
      <c r="E121" s="823"/>
      <c r="F121" s="823"/>
      <c r="G121" s="822"/>
      <c r="H121" s="822"/>
      <c r="I121" s="822"/>
      <c r="J121" s="822"/>
      <c r="K121" s="822"/>
      <c r="L121" s="71"/>
      <c r="M121" s="10"/>
    </row>
    <row r="122" spans="1:16" x14ac:dyDescent="0.3">
      <c r="A122" s="7"/>
      <c r="B122" s="74"/>
      <c r="C122" s="75"/>
      <c r="D122" s="75"/>
      <c r="E122" s="75"/>
      <c r="F122" s="75"/>
      <c r="G122" s="75"/>
      <c r="H122" s="75"/>
      <c r="I122" s="75"/>
      <c r="J122" s="75"/>
      <c r="K122" s="75"/>
      <c r="L122" s="276"/>
      <c r="M122" s="10"/>
    </row>
    <row r="123" spans="1:16" x14ac:dyDescent="0.3">
      <c r="A123" s="7"/>
      <c r="B123" s="625" t="str">
        <f>IF(Intro!$G$20="English",O123,P123)</f>
        <v>If the volume of ending inventory in Question 5 on the Invent-Stock tab differs from the calculated ending inventory, explain why there is a difference.</v>
      </c>
      <c r="C123" s="626"/>
      <c r="D123" s="626"/>
      <c r="E123" s="626"/>
      <c r="F123" s="626"/>
      <c r="G123" s="626"/>
      <c r="H123" s="626"/>
      <c r="I123" s="626"/>
      <c r="J123" s="626"/>
      <c r="K123" s="626"/>
      <c r="L123" s="627"/>
      <c r="M123" s="10"/>
      <c r="O123" s="27" t="s">
        <v>580</v>
      </c>
      <c r="P123" s="10" t="s">
        <v>581</v>
      </c>
    </row>
    <row r="124" spans="1:16" x14ac:dyDescent="0.3">
      <c r="A124" s="7"/>
      <c r="B124" s="74"/>
      <c r="C124" s="75"/>
      <c r="D124" s="75"/>
      <c r="E124" s="75"/>
      <c r="F124" s="75"/>
      <c r="G124" s="75"/>
      <c r="H124" s="75"/>
      <c r="I124" s="75"/>
      <c r="J124" s="75"/>
      <c r="K124" s="75"/>
      <c r="L124" s="276"/>
      <c r="M124" s="10"/>
    </row>
    <row r="125" spans="1:16" s="275" customFormat="1" x14ac:dyDescent="0.3">
      <c r="A125" s="7"/>
      <c r="B125" s="639"/>
      <c r="C125" s="640"/>
      <c r="D125" s="640"/>
      <c r="E125" s="640"/>
      <c r="F125" s="640"/>
      <c r="G125" s="640"/>
      <c r="H125" s="640"/>
      <c r="I125" s="640"/>
      <c r="J125" s="640"/>
      <c r="K125" s="640"/>
      <c r="L125" s="641"/>
      <c r="M125" s="38"/>
    </row>
    <row r="126" spans="1:16" s="275" customFormat="1" x14ac:dyDescent="0.3">
      <c r="A126" s="7"/>
      <c r="B126" s="639"/>
      <c r="C126" s="640"/>
      <c r="D126" s="640"/>
      <c r="E126" s="640"/>
      <c r="F126" s="640"/>
      <c r="G126" s="640"/>
      <c r="H126" s="640"/>
      <c r="I126" s="640"/>
      <c r="J126" s="640"/>
      <c r="K126" s="640"/>
      <c r="L126" s="641"/>
      <c r="M126" s="38"/>
    </row>
    <row r="127" spans="1:16" s="275" customFormat="1" x14ac:dyDescent="0.3">
      <c r="A127" s="7"/>
      <c r="B127" s="639"/>
      <c r="C127" s="640"/>
      <c r="D127" s="640"/>
      <c r="E127" s="640"/>
      <c r="F127" s="640"/>
      <c r="G127" s="640"/>
      <c r="H127" s="640"/>
      <c r="I127" s="640"/>
      <c r="J127" s="640"/>
      <c r="K127" s="640"/>
      <c r="L127" s="641"/>
      <c r="M127" s="38"/>
    </row>
    <row r="128" spans="1:16" s="275" customFormat="1" x14ac:dyDescent="0.3">
      <c r="A128" s="7"/>
      <c r="B128" s="639"/>
      <c r="C128" s="640"/>
      <c r="D128" s="640"/>
      <c r="E128" s="640"/>
      <c r="F128" s="640"/>
      <c r="G128" s="640"/>
      <c r="H128" s="640"/>
      <c r="I128" s="640"/>
      <c r="J128" s="640"/>
      <c r="K128" s="640"/>
      <c r="L128" s="641"/>
      <c r="M128" s="38"/>
    </row>
    <row r="129" spans="1:16" s="275" customFormat="1" x14ac:dyDescent="0.3">
      <c r="A129" s="7"/>
      <c r="B129" s="639"/>
      <c r="C129" s="640"/>
      <c r="D129" s="640"/>
      <c r="E129" s="640"/>
      <c r="F129" s="640"/>
      <c r="G129" s="640"/>
      <c r="H129" s="640"/>
      <c r="I129" s="640"/>
      <c r="J129" s="640"/>
      <c r="K129" s="640"/>
      <c r="L129" s="641"/>
      <c r="M129" s="38"/>
    </row>
    <row r="130" spans="1:16" s="275" customFormat="1" x14ac:dyDescent="0.3">
      <c r="A130" s="7"/>
      <c r="B130" s="639"/>
      <c r="C130" s="640"/>
      <c r="D130" s="640"/>
      <c r="E130" s="640"/>
      <c r="F130" s="640"/>
      <c r="G130" s="640"/>
      <c r="H130" s="640"/>
      <c r="I130" s="640"/>
      <c r="J130" s="640"/>
      <c r="K130" s="640"/>
      <c r="L130" s="641"/>
      <c r="M130" s="38"/>
    </row>
    <row r="131" spans="1:16" s="275" customFormat="1" x14ac:dyDescent="0.3">
      <c r="A131" s="7"/>
      <c r="B131" s="639"/>
      <c r="C131" s="640"/>
      <c r="D131" s="640"/>
      <c r="E131" s="640"/>
      <c r="F131" s="640"/>
      <c r="G131" s="640"/>
      <c r="H131" s="640"/>
      <c r="I131" s="640"/>
      <c r="J131" s="640"/>
      <c r="K131" s="640"/>
      <c r="L131" s="641"/>
      <c r="M131" s="38"/>
    </row>
    <row r="132" spans="1:16" s="275" customFormat="1" x14ac:dyDescent="0.3">
      <c r="A132" s="7"/>
      <c r="B132" s="639"/>
      <c r="C132" s="640"/>
      <c r="D132" s="640"/>
      <c r="E132" s="640"/>
      <c r="F132" s="640"/>
      <c r="G132" s="640"/>
      <c r="H132" s="640"/>
      <c r="I132" s="640"/>
      <c r="J132" s="640"/>
      <c r="K132" s="640"/>
      <c r="L132" s="641"/>
      <c r="M132" s="38"/>
    </row>
    <row r="133" spans="1:16" x14ac:dyDescent="0.3">
      <c r="A133" s="7"/>
      <c r="B133" s="72"/>
      <c r="C133" s="84"/>
      <c r="D133" s="84"/>
      <c r="E133" s="84"/>
      <c r="F133" s="84"/>
      <c r="G133" s="84"/>
      <c r="H133" s="84"/>
      <c r="I133" s="84"/>
      <c r="J133" s="84"/>
      <c r="K133" s="84"/>
      <c r="L133" s="85"/>
      <c r="M133" s="10"/>
    </row>
    <row r="134" spans="1:16" s="11" customFormat="1" x14ac:dyDescent="0.3">
      <c r="A134" s="7"/>
      <c r="B134" s="650" t="s">
        <v>20</v>
      </c>
      <c r="C134" s="651"/>
      <c r="D134" s="651"/>
      <c r="E134" s="651"/>
      <c r="F134" s="651"/>
      <c r="G134" s="651"/>
      <c r="H134" s="651"/>
      <c r="I134" s="651"/>
      <c r="J134" s="651"/>
      <c r="K134" s="651"/>
      <c r="L134" s="652"/>
      <c r="M134" s="73"/>
    </row>
    <row r="135" spans="1:16" x14ac:dyDescent="0.3">
      <c r="A135" s="7"/>
      <c r="B135" s="74"/>
      <c r="C135" s="75"/>
      <c r="D135" s="75"/>
      <c r="E135" s="75"/>
      <c r="F135" s="75"/>
      <c r="G135" s="75"/>
      <c r="H135" s="75"/>
      <c r="I135" s="75"/>
      <c r="J135" s="75"/>
      <c r="K135" s="75"/>
      <c r="L135" s="58"/>
      <c r="M135" s="10"/>
    </row>
    <row r="136" spans="1:16" x14ac:dyDescent="0.3">
      <c r="A136" s="7"/>
      <c r="B136" s="500" t="str">
        <f>IF(Intro!$G$20="English",O136,P136)</f>
        <v>Describe how your firm determines the value of inventory. Provide any changes in the method of valuation or major write-downs of inventory that have occurred since January 1, 2023.</v>
      </c>
      <c r="C136" s="501"/>
      <c r="D136" s="501"/>
      <c r="E136" s="501"/>
      <c r="F136" s="501"/>
      <c r="G136" s="501"/>
      <c r="H136" s="501"/>
      <c r="I136" s="501"/>
      <c r="J136" s="501"/>
      <c r="K136" s="501"/>
      <c r="L136" s="502"/>
      <c r="M136" s="10"/>
      <c r="O136" s="10"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136" s="10"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137" spans="1:16" x14ac:dyDescent="0.3">
      <c r="A137" s="7"/>
      <c r="B137" s="500"/>
      <c r="C137" s="501"/>
      <c r="D137" s="501"/>
      <c r="E137" s="501"/>
      <c r="F137" s="501"/>
      <c r="G137" s="501"/>
      <c r="H137" s="501"/>
      <c r="I137" s="501"/>
      <c r="J137" s="501"/>
      <c r="K137" s="501"/>
      <c r="L137" s="502"/>
      <c r="M137" s="10"/>
    </row>
    <row r="138" spans="1:16" x14ac:dyDescent="0.3">
      <c r="A138" s="7"/>
      <c r="B138" s="74"/>
      <c r="C138" s="75"/>
      <c r="D138" s="75"/>
      <c r="E138" s="75"/>
      <c r="F138" s="75"/>
      <c r="G138" s="75"/>
      <c r="H138" s="75"/>
      <c r="I138" s="75"/>
      <c r="J138" s="75"/>
      <c r="K138" s="75"/>
      <c r="L138" s="58"/>
      <c r="M138" s="10"/>
    </row>
    <row r="139" spans="1:16" s="11" customFormat="1" x14ac:dyDescent="0.3">
      <c r="A139" s="7"/>
      <c r="B139" s="639"/>
      <c r="C139" s="640"/>
      <c r="D139" s="640"/>
      <c r="E139" s="640"/>
      <c r="F139" s="640"/>
      <c r="G139" s="640"/>
      <c r="H139" s="640"/>
      <c r="I139" s="640"/>
      <c r="J139" s="640"/>
      <c r="K139" s="640"/>
      <c r="L139" s="641"/>
      <c r="M139" s="38"/>
    </row>
    <row r="140" spans="1:16" s="11" customFormat="1" x14ac:dyDescent="0.3">
      <c r="A140" s="7"/>
      <c r="B140" s="639"/>
      <c r="C140" s="640"/>
      <c r="D140" s="640"/>
      <c r="E140" s="640"/>
      <c r="F140" s="640"/>
      <c r="G140" s="640"/>
      <c r="H140" s="640"/>
      <c r="I140" s="640"/>
      <c r="J140" s="640"/>
      <c r="K140" s="640"/>
      <c r="L140" s="641"/>
      <c r="M140" s="38"/>
    </row>
    <row r="141" spans="1:16" s="11" customFormat="1" x14ac:dyDescent="0.3">
      <c r="A141" s="7"/>
      <c r="B141" s="639"/>
      <c r="C141" s="640"/>
      <c r="D141" s="640"/>
      <c r="E141" s="640"/>
      <c r="F141" s="640"/>
      <c r="G141" s="640"/>
      <c r="H141" s="640"/>
      <c r="I141" s="640"/>
      <c r="J141" s="640"/>
      <c r="K141" s="640"/>
      <c r="L141" s="641"/>
      <c r="M141" s="38"/>
    </row>
    <row r="142" spans="1:16" s="11" customFormat="1" x14ac:dyDescent="0.3">
      <c r="A142" s="7"/>
      <c r="B142" s="639"/>
      <c r="C142" s="640"/>
      <c r="D142" s="640"/>
      <c r="E142" s="640"/>
      <c r="F142" s="640"/>
      <c r="G142" s="640"/>
      <c r="H142" s="640"/>
      <c r="I142" s="640"/>
      <c r="J142" s="640"/>
      <c r="K142" s="640"/>
      <c r="L142" s="641"/>
      <c r="M142" s="38"/>
    </row>
    <row r="143" spans="1:16" s="11" customFormat="1" x14ac:dyDescent="0.3">
      <c r="A143" s="7"/>
      <c r="B143" s="639"/>
      <c r="C143" s="640"/>
      <c r="D143" s="640"/>
      <c r="E143" s="640"/>
      <c r="F143" s="640"/>
      <c r="G143" s="640"/>
      <c r="H143" s="640"/>
      <c r="I143" s="640"/>
      <c r="J143" s="640"/>
      <c r="K143" s="640"/>
      <c r="L143" s="641"/>
      <c r="M143" s="38"/>
    </row>
    <row r="144" spans="1:16" s="11" customFormat="1" x14ac:dyDescent="0.3">
      <c r="A144" s="7"/>
      <c r="B144" s="639"/>
      <c r="C144" s="640"/>
      <c r="D144" s="640"/>
      <c r="E144" s="640"/>
      <c r="F144" s="640"/>
      <c r="G144" s="640"/>
      <c r="H144" s="640"/>
      <c r="I144" s="640"/>
      <c r="J144" s="640"/>
      <c r="K144" s="640"/>
      <c r="L144" s="641"/>
      <c r="M144" s="38"/>
    </row>
    <row r="145" spans="1:16" s="11" customFormat="1" x14ac:dyDescent="0.3">
      <c r="A145" s="7"/>
      <c r="B145" s="639"/>
      <c r="C145" s="640"/>
      <c r="D145" s="640"/>
      <c r="E145" s="640"/>
      <c r="F145" s="640"/>
      <c r="G145" s="640"/>
      <c r="H145" s="640"/>
      <c r="I145" s="640"/>
      <c r="J145" s="640"/>
      <c r="K145" s="640"/>
      <c r="L145" s="641"/>
      <c r="M145" s="38"/>
    </row>
    <row r="146" spans="1:16" s="11" customFormat="1" x14ac:dyDescent="0.3">
      <c r="A146" s="7"/>
      <c r="B146" s="639"/>
      <c r="C146" s="640"/>
      <c r="D146" s="640"/>
      <c r="E146" s="640"/>
      <c r="F146" s="640"/>
      <c r="G146" s="640"/>
      <c r="H146" s="640"/>
      <c r="I146" s="640"/>
      <c r="J146" s="640"/>
      <c r="K146" s="640"/>
      <c r="L146" s="641"/>
      <c r="M146" s="38"/>
    </row>
    <row r="147" spans="1:16" x14ac:dyDescent="0.3">
      <c r="A147" s="7"/>
      <c r="B147" s="72"/>
      <c r="C147" s="69"/>
      <c r="D147" s="69"/>
      <c r="E147" s="69"/>
      <c r="F147" s="69"/>
      <c r="G147" s="69"/>
      <c r="H147" s="69"/>
      <c r="I147" s="69"/>
      <c r="J147" s="69"/>
      <c r="K147" s="69"/>
      <c r="L147" s="70"/>
      <c r="M147" s="10"/>
    </row>
    <row r="148" spans="1:16" s="11" customFormat="1" x14ac:dyDescent="0.3">
      <c r="A148" s="7"/>
      <c r="B148" s="650" t="s">
        <v>21</v>
      </c>
      <c r="C148" s="651"/>
      <c r="D148" s="651"/>
      <c r="E148" s="651"/>
      <c r="F148" s="651"/>
      <c r="G148" s="651"/>
      <c r="H148" s="651"/>
      <c r="I148" s="651"/>
      <c r="J148" s="651"/>
      <c r="K148" s="651"/>
      <c r="L148" s="652"/>
      <c r="M148" s="73"/>
    </row>
    <row r="149" spans="1:16" x14ac:dyDescent="0.3">
      <c r="A149" s="7"/>
      <c r="B149" s="74"/>
      <c r="C149" s="75"/>
      <c r="D149" s="75"/>
      <c r="E149" s="75"/>
      <c r="F149" s="75"/>
      <c r="G149" s="75"/>
      <c r="H149" s="75"/>
      <c r="I149" s="75"/>
      <c r="J149" s="75"/>
      <c r="K149" s="75"/>
      <c r="L149" s="58"/>
      <c r="M149" s="10"/>
    </row>
    <row r="150" spans="1:16" x14ac:dyDescent="0.3">
      <c r="A150" s="7"/>
      <c r="B150" s="500" t="str">
        <f>IF(Intro!$G$20="English",O150,P150)</f>
        <v>Describe any changes in your firm’s inventory levels of the goods since January 1, 2023 and whether these changes impacted your firm’s ability to supply customers.</v>
      </c>
      <c r="C150" s="501"/>
      <c r="D150" s="501"/>
      <c r="E150" s="501"/>
      <c r="F150" s="501"/>
      <c r="G150" s="501"/>
      <c r="H150" s="501"/>
      <c r="I150" s="501"/>
      <c r="J150" s="501"/>
      <c r="K150" s="501"/>
      <c r="L150" s="502"/>
      <c r="M150" s="10"/>
      <c r="O150" s="10"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150" s="10"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151" spans="1:16" x14ac:dyDescent="0.3">
      <c r="A151" s="7"/>
      <c r="B151" s="500"/>
      <c r="C151" s="501"/>
      <c r="D151" s="501"/>
      <c r="E151" s="501"/>
      <c r="F151" s="501"/>
      <c r="G151" s="501"/>
      <c r="H151" s="501"/>
      <c r="I151" s="501"/>
      <c r="J151" s="501"/>
      <c r="K151" s="501"/>
      <c r="L151" s="502"/>
      <c r="M151" s="10"/>
    </row>
    <row r="152" spans="1:16" x14ac:dyDescent="0.3">
      <c r="A152" s="7"/>
      <c r="B152" s="74"/>
      <c r="C152" s="75"/>
      <c r="D152" s="75"/>
      <c r="E152" s="75"/>
      <c r="F152" s="75"/>
      <c r="G152" s="75"/>
      <c r="H152" s="75"/>
      <c r="I152" s="75"/>
      <c r="J152" s="75"/>
      <c r="K152" s="75"/>
      <c r="L152" s="58"/>
      <c r="M152" s="10"/>
    </row>
    <row r="153" spans="1:16" s="11" customFormat="1" x14ac:dyDescent="0.3">
      <c r="A153" s="7"/>
      <c r="B153" s="639"/>
      <c r="C153" s="640"/>
      <c r="D153" s="640"/>
      <c r="E153" s="640"/>
      <c r="F153" s="640"/>
      <c r="G153" s="640"/>
      <c r="H153" s="640"/>
      <c r="I153" s="640"/>
      <c r="J153" s="640"/>
      <c r="K153" s="640"/>
      <c r="L153" s="641"/>
      <c r="M153" s="38"/>
    </row>
    <row r="154" spans="1:16" s="11" customFormat="1" x14ac:dyDescent="0.3">
      <c r="A154" s="7"/>
      <c r="B154" s="639"/>
      <c r="C154" s="640"/>
      <c r="D154" s="640"/>
      <c r="E154" s="640"/>
      <c r="F154" s="640"/>
      <c r="G154" s="640"/>
      <c r="H154" s="640"/>
      <c r="I154" s="640"/>
      <c r="J154" s="640"/>
      <c r="K154" s="640"/>
      <c r="L154" s="641"/>
      <c r="M154" s="38"/>
    </row>
    <row r="155" spans="1:16" s="11" customFormat="1" x14ac:dyDescent="0.3">
      <c r="A155" s="7"/>
      <c r="B155" s="639"/>
      <c r="C155" s="640"/>
      <c r="D155" s="640"/>
      <c r="E155" s="640"/>
      <c r="F155" s="640"/>
      <c r="G155" s="640"/>
      <c r="H155" s="640"/>
      <c r="I155" s="640"/>
      <c r="J155" s="640"/>
      <c r="K155" s="640"/>
      <c r="L155" s="641"/>
      <c r="M155" s="38"/>
    </row>
    <row r="156" spans="1:16" s="11" customFormat="1" x14ac:dyDescent="0.3">
      <c r="A156" s="7"/>
      <c r="B156" s="639"/>
      <c r="C156" s="640"/>
      <c r="D156" s="640"/>
      <c r="E156" s="640"/>
      <c r="F156" s="640"/>
      <c r="G156" s="640"/>
      <c r="H156" s="640"/>
      <c r="I156" s="640"/>
      <c r="J156" s="640"/>
      <c r="K156" s="640"/>
      <c r="L156" s="641"/>
      <c r="M156" s="38"/>
    </row>
    <row r="157" spans="1:16" s="11" customFormat="1" x14ac:dyDescent="0.3">
      <c r="A157" s="7"/>
      <c r="B157" s="639"/>
      <c r="C157" s="640"/>
      <c r="D157" s="640"/>
      <c r="E157" s="640"/>
      <c r="F157" s="640"/>
      <c r="G157" s="640"/>
      <c r="H157" s="640"/>
      <c r="I157" s="640"/>
      <c r="J157" s="640"/>
      <c r="K157" s="640"/>
      <c r="L157" s="641"/>
      <c r="M157" s="38"/>
    </row>
    <row r="158" spans="1:16" s="11" customFormat="1" x14ac:dyDescent="0.3">
      <c r="A158" s="7"/>
      <c r="B158" s="639"/>
      <c r="C158" s="640"/>
      <c r="D158" s="640"/>
      <c r="E158" s="640"/>
      <c r="F158" s="640"/>
      <c r="G158" s="640"/>
      <c r="H158" s="640"/>
      <c r="I158" s="640"/>
      <c r="J158" s="640"/>
      <c r="K158" s="640"/>
      <c r="L158" s="641"/>
      <c r="M158" s="38"/>
    </row>
    <row r="159" spans="1:16" s="11" customFormat="1" x14ac:dyDescent="0.3">
      <c r="A159" s="7"/>
      <c r="B159" s="639"/>
      <c r="C159" s="640"/>
      <c r="D159" s="640"/>
      <c r="E159" s="640"/>
      <c r="F159" s="640"/>
      <c r="G159" s="640"/>
      <c r="H159" s="640"/>
      <c r="I159" s="640"/>
      <c r="J159" s="640"/>
      <c r="K159" s="640"/>
      <c r="L159" s="641"/>
      <c r="M159" s="38"/>
    </row>
    <row r="160" spans="1:16" s="11" customFormat="1" x14ac:dyDescent="0.3">
      <c r="A160" s="7"/>
      <c r="B160" s="639"/>
      <c r="C160" s="640"/>
      <c r="D160" s="640"/>
      <c r="E160" s="640"/>
      <c r="F160" s="640"/>
      <c r="G160" s="640"/>
      <c r="H160" s="640"/>
      <c r="I160" s="640"/>
      <c r="J160" s="640"/>
      <c r="K160" s="640"/>
      <c r="L160" s="641"/>
      <c r="M160" s="38"/>
    </row>
    <row r="161" spans="1:16" x14ac:dyDescent="0.3">
      <c r="A161" s="7"/>
      <c r="B161" s="72"/>
      <c r="C161" s="69"/>
      <c r="D161" s="69"/>
      <c r="E161" s="69"/>
      <c r="F161" s="69"/>
      <c r="G161" s="69"/>
      <c r="H161" s="69"/>
      <c r="I161" s="69"/>
      <c r="J161" s="69"/>
      <c r="K161" s="69"/>
      <c r="L161" s="70"/>
      <c r="M161" s="10"/>
    </row>
    <row r="162" spans="1:16" s="11" customFormat="1" x14ac:dyDescent="0.3">
      <c r="A162" s="7"/>
      <c r="B162" s="650" t="s">
        <v>22</v>
      </c>
      <c r="C162" s="651"/>
      <c r="D162" s="651"/>
      <c r="E162" s="651"/>
      <c r="F162" s="651"/>
      <c r="G162" s="651"/>
      <c r="H162" s="651"/>
      <c r="I162" s="651"/>
      <c r="J162" s="651"/>
      <c r="K162" s="651"/>
      <c r="L162" s="652"/>
      <c r="M162" s="73"/>
    </row>
    <row r="163" spans="1:16" x14ac:dyDescent="0.3">
      <c r="A163" s="7"/>
      <c r="B163" s="74"/>
      <c r="C163" s="75"/>
      <c r="D163" s="75"/>
      <c r="E163" s="75"/>
      <c r="F163" s="75"/>
      <c r="G163" s="75"/>
      <c r="H163" s="75"/>
      <c r="I163" s="75"/>
      <c r="J163" s="75"/>
      <c r="K163" s="75"/>
      <c r="L163" s="58"/>
      <c r="M163" s="10"/>
    </row>
    <row r="164" spans="1:16" x14ac:dyDescent="0.3">
      <c r="A164" s="7"/>
      <c r="B164" s="500" t="str">
        <f>IF(Intro!$G$20="English",O164,P164)</f>
        <v>Describe your firm’s plans to manage inventory levels, in the next two years. Provide the rationale and assumptions underlying these strategies and objectives.</v>
      </c>
      <c r="C164" s="501"/>
      <c r="D164" s="501"/>
      <c r="E164" s="501"/>
      <c r="F164" s="501"/>
      <c r="G164" s="501"/>
      <c r="H164" s="501"/>
      <c r="I164" s="501"/>
      <c r="J164" s="501"/>
      <c r="K164" s="501"/>
      <c r="L164" s="502"/>
      <c r="M164" s="10"/>
      <c r="O164" s="10" t="s">
        <v>214</v>
      </c>
      <c r="P164" s="10" t="s">
        <v>148</v>
      </c>
    </row>
    <row r="165" spans="1:16" x14ac:dyDescent="0.3">
      <c r="A165" s="7"/>
      <c r="B165" s="74"/>
      <c r="C165" s="75"/>
      <c r="D165" s="75"/>
      <c r="E165" s="75"/>
      <c r="F165" s="75"/>
      <c r="G165" s="75"/>
      <c r="H165" s="75"/>
      <c r="I165" s="75"/>
      <c r="J165" s="75"/>
      <c r="K165" s="75"/>
      <c r="L165" s="58"/>
      <c r="M165" s="10"/>
    </row>
    <row r="166" spans="1:16" s="11" customFormat="1" x14ac:dyDescent="0.3">
      <c r="A166" s="7"/>
      <c r="B166" s="639"/>
      <c r="C166" s="640"/>
      <c r="D166" s="640"/>
      <c r="E166" s="640"/>
      <c r="F166" s="640"/>
      <c r="G166" s="640"/>
      <c r="H166" s="640"/>
      <c r="I166" s="640"/>
      <c r="J166" s="640"/>
      <c r="K166" s="640"/>
      <c r="L166" s="641"/>
      <c r="M166" s="38"/>
    </row>
    <row r="167" spans="1:16" s="11" customFormat="1" x14ac:dyDescent="0.3">
      <c r="A167" s="7"/>
      <c r="B167" s="639"/>
      <c r="C167" s="640"/>
      <c r="D167" s="640"/>
      <c r="E167" s="640"/>
      <c r="F167" s="640"/>
      <c r="G167" s="640"/>
      <c r="H167" s="640"/>
      <c r="I167" s="640"/>
      <c r="J167" s="640"/>
      <c r="K167" s="640"/>
      <c r="L167" s="641"/>
      <c r="M167" s="38"/>
    </row>
    <row r="168" spans="1:16" s="11" customFormat="1" x14ac:dyDescent="0.3">
      <c r="A168" s="7"/>
      <c r="B168" s="639"/>
      <c r="C168" s="640"/>
      <c r="D168" s="640"/>
      <c r="E168" s="640"/>
      <c r="F168" s="640"/>
      <c r="G168" s="640"/>
      <c r="H168" s="640"/>
      <c r="I168" s="640"/>
      <c r="J168" s="640"/>
      <c r="K168" s="640"/>
      <c r="L168" s="641"/>
      <c r="M168" s="38"/>
    </row>
    <row r="169" spans="1:16" s="11" customFormat="1" x14ac:dyDescent="0.3">
      <c r="A169" s="7"/>
      <c r="B169" s="639"/>
      <c r="C169" s="640"/>
      <c r="D169" s="640"/>
      <c r="E169" s="640"/>
      <c r="F169" s="640"/>
      <c r="G169" s="640"/>
      <c r="H169" s="640"/>
      <c r="I169" s="640"/>
      <c r="J169" s="640"/>
      <c r="K169" s="640"/>
      <c r="L169" s="641"/>
      <c r="M169" s="38"/>
    </row>
    <row r="170" spans="1:16" s="11" customFormat="1" x14ac:dyDescent="0.3">
      <c r="A170" s="7"/>
      <c r="B170" s="639"/>
      <c r="C170" s="640"/>
      <c r="D170" s="640"/>
      <c r="E170" s="640"/>
      <c r="F170" s="640"/>
      <c r="G170" s="640"/>
      <c r="H170" s="640"/>
      <c r="I170" s="640"/>
      <c r="J170" s="640"/>
      <c r="K170" s="640"/>
      <c r="L170" s="641"/>
      <c r="M170" s="38"/>
    </row>
    <row r="171" spans="1:16" s="11" customFormat="1" x14ac:dyDescent="0.3">
      <c r="A171" s="7"/>
      <c r="B171" s="639"/>
      <c r="C171" s="640"/>
      <c r="D171" s="640"/>
      <c r="E171" s="640"/>
      <c r="F171" s="640"/>
      <c r="G171" s="640"/>
      <c r="H171" s="640"/>
      <c r="I171" s="640"/>
      <c r="J171" s="640"/>
      <c r="K171" s="640"/>
      <c r="L171" s="641"/>
      <c r="M171" s="38"/>
    </row>
    <row r="172" spans="1:16" s="11" customFormat="1" x14ac:dyDescent="0.3">
      <c r="A172" s="7"/>
      <c r="B172" s="639"/>
      <c r="C172" s="640"/>
      <c r="D172" s="640"/>
      <c r="E172" s="640"/>
      <c r="F172" s="640"/>
      <c r="G172" s="640"/>
      <c r="H172" s="640"/>
      <c r="I172" s="640"/>
      <c r="J172" s="640"/>
      <c r="K172" s="640"/>
      <c r="L172" s="641"/>
      <c r="M172" s="38"/>
    </row>
    <row r="173" spans="1:16" s="11" customFormat="1" x14ac:dyDescent="0.3">
      <c r="A173" s="7"/>
      <c r="B173" s="639"/>
      <c r="C173" s="640"/>
      <c r="D173" s="640"/>
      <c r="E173" s="640"/>
      <c r="F173" s="640"/>
      <c r="G173" s="640"/>
      <c r="H173" s="640"/>
      <c r="I173" s="640"/>
      <c r="J173" s="640"/>
      <c r="K173" s="640"/>
      <c r="L173" s="641"/>
      <c r="M173" s="38"/>
    </row>
    <row r="174" spans="1:16" x14ac:dyDescent="0.3">
      <c r="A174" s="7"/>
      <c r="B174" s="72"/>
      <c r="C174" s="69"/>
      <c r="D174" s="69"/>
      <c r="E174" s="69"/>
      <c r="F174" s="69"/>
      <c r="G174" s="69"/>
      <c r="H174" s="69"/>
      <c r="I174" s="69"/>
      <c r="J174" s="69"/>
      <c r="K174" s="69"/>
      <c r="L174" s="70"/>
      <c r="M174" s="10"/>
    </row>
    <row r="175" spans="1:16" s="44" customFormat="1" x14ac:dyDescent="0.3">
      <c r="A175" s="76"/>
      <c r="B175" s="4"/>
      <c r="C175" s="77"/>
      <c r="D175" s="77"/>
      <c r="E175" s="77"/>
      <c r="F175" s="77"/>
      <c r="G175" s="77"/>
      <c r="H175" s="77"/>
      <c r="I175" s="77"/>
      <c r="J175" s="77"/>
      <c r="K175" s="77"/>
      <c r="L175" s="77"/>
      <c r="N175" s="78"/>
    </row>
    <row r="176" spans="1:16" s="44" customFormat="1" x14ac:dyDescent="0.3">
      <c r="A176" s="76"/>
      <c r="B176" s="4"/>
      <c r="C176" s="77"/>
      <c r="D176" s="77"/>
      <c r="E176" s="77"/>
      <c r="F176" s="77"/>
      <c r="G176" s="77"/>
      <c r="H176" s="77"/>
      <c r="I176" s="77"/>
      <c r="J176" s="77"/>
      <c r="K176" s="77"/>
      <c r="L176" s="77"/>
      <c r="N176" s="78"/>
    </row>
    <row r="177" spans="1:14" s="44" customFormat="1" x14ac:dyDescent="0.3">
      <c r="A177" s="76"/>
      <c r="B177" s="4"/>
      <c r="C177" s="77"/>
      <c r="D177" s="77"/>
      <c r="E177" s="77"/>
      <c r="F177" s="77"/>
      <c r="G177" s="77"/>
      <c r="H177" s="77"/>
      <c r="I177" s="77"/>
      <c r="J177" s="77"/>
      <c r="K177" s="77"/>
      <c r="L177" s="77"/>
      <c r="N177" s="78"/>
    </row>
    <row r="178" spans="1:14" s="44" customFormat="1" x14ac:dyDescent="0.3">
      <c r="A178" s="76"/>
      <c r="B178" s="4"/>
      <c r="C178" s="77"/>
      <c r="D178" s="77"/>
      <c r="E178" s="77"/>
      <c r="F178" s="77"/>
      <c r="G178" s="77"/>
      <c r="H178" s="77"/>
      <c r="I178" s="77"/>
      <c r="J178" s="77"/>
      <c r="K178" s="77"/>
      <c r="L178" s="77"/>
      <c r="N178" s="78"/>
    </row>
    <row r="179" spans="1:14" s="44" customFormat="1" x14ac:dyDescent="0.3">
      <c r="A179" s="76"/>
      <c r="B179" s="4"/>
      <c r="C179" s="77"/>
      <c r="D179" s="77"/>
      <c r="E179" s="77"/>
      <c r="F179" s="77"/>
      <c r="G179" s="77"/>
      <c r="H179" s="77"/>
      <c r="I179" s="77"/>
      <c r="J179" s="77"/>
      <c r="K179" s="77"/>
      <c r="L179" s="77"/>
      <c r="N179" s="78"/>
    </row>
  </sheetData>
  <sheetProtection algorithmName="SHA-512" hashValue="d3T6VFl74mR/aRptKc2Ebap0HNRCtg2dTv3A8m9MabdnzI2sQXyUweHmIK87/zijqk3akL1T13d6Fm4mVlm5KQ==" saltValue="W3C9g7HMOu/S6hzbcIc/pQ==" spinCount="100000" sheet="1" objects="1" scenarios="1" selectLockedCells="1"/>
  <mergeCells count="139">
    <mergeCell ref="J62:J63"/>
    <mergeCell ref="B67:C69"/>
    <mergeCell ref="D67:F67"/>
    <mergeCell ref="D68:F68"/>
    <mergeCell ref="D69:F69"/>
    <mergeCell ref="B70:C72"/>
    <mergeCell ref="D70:F70"/>
    <mergeCell ref="D71:F71"/>
    <mergeCell ref="D72:F72"/>
    <mergeCell ref="B139:L146"/>
    <mergeCell ref="B153:L160"/>
    <mergeCell ref="B166:L173"/>
    <mergeCell ref="B136:L137"/>
    <mergeCell ref="B150:L151"/>
    <mergeCell ref="B164:L164"/>
    <mergeCell ref="B134:L134"/>
    <mergeCell ref="B148:L148"/>
    <mergeCell ref="B162:L162"/>
    <mergeCell ref="B4:L4"/>
    <mergeCell ref="B5:L5"/>
    <mergeCell ref="B6:L6"/>
    <mergeCell ref="D26:F26"/>
    <mergeCell ref="D27:F27"/>
    <mergeCell ref="B26:C28"/>
    <mergeCell ref="D28:F28"/>
    <mergeCell ref="B19:L19"/>
    <mergeCell ref="G24:G25"/>
    <mergeCell ref="H24:H25"/>
    <mergeCell ref="I24:I25"/>
    <mergeCell ref="J24:J25"/>
    <mergeCell ref="K24:K25"/>
    <mergeCell ref="B20:L20"/>
    <mergeCell ref="B14:L14"/>
    <mergeCell ref="B8:L8"/>
    <mergeCell ref="B9:L9"/>
    <mergeCell ref="B10:L10"/>
    <mergeCell ref="B12:L12"/>
    <mergeCell ref="B13:L13"/>
    <mergeCell ref="B15:L15"/>
    <mergeCell ref="B16:L16"/>
    <mergeCell ref="B17:L17"/>
    <mergeCell ref="B22:L22"/>
    <mergeCell ref="D29:F29"/>
    <mergeCell ref="B29:C31"/>
    <mergeCell ref="D30:F30"/>
    <mergeCell ref="D31:F31"/>
    <mergeCell ref="B47:L47"/>
    <mergeCell ref="B42:D42"/>
    <mergeCell ref="G40:G41"/>
    <mergeCell ref="H40:H41"/>
    <mergeCell ref="I40:I41"/>
    <mergeCell ref="J40:J41"/>
    <mergeCell ref="K40:K41"/>
    <mergeCell ref="J43:J45"/>
    <mergeCell ref="K43:K45"/>
    <mergeCell ref="B43:D45"/>
    <mergeCell ref="E43:F45"/>
    <mergeCell ref="G43:G45"/>
    <mergeCell ref="H43:H45"/>
    <mergeCell ref="I43:I45"/>
    <mergeCell ref="B32:C34"/>
    <mergeCell ref="D33:F33"/>
    <mergeCell ref="D34:F34"/>
    <mergeCell ref="E42:F42"/>
    <mergeCell ref="D32:F32"/>
    <mergeCell ref="B38:L38"/>
    <mergeCell ref="B36:L36"/>
    <mergeCell ref="K62:K63"/>
    <mergeCell ref="B64:C66"/>
    <mergeCell ref="D64:F64"/>
    <mergeCell ref="D65:F65"/>
    <mergeCell ref="D66:F66"/>
    <mergeCell ref="B80:D80"/>
    <mergeCell ref="E80:F80"/>
    <mergeCell ref="B81:D83"/>
    <mergeCell ref="E81:F83"/>
    <mergeCell ref="G81:G83"/>
    <mergeCell ref="B74:L74"/>
    <mergeCell ref="B76:L76"/>
    <mergeCell ref="G78:G79"/>
    <mergeCell ref="H78:H79"/>
    <mergeCell ref="I78:I79"/>
    <mergeCell ref="J78:J79"/>
    <mergeCell ref="K78:K79"/>
    <mergeCell ref="B49:L56"/>
    <mergeCell ref="B58:L58"/>
    <mergeCell ref="B60:L60"/>
    <mergeCell ref="G62:G63"/>
    <mergeCell ref="H62:H63"/>
    <mergeCell ref="I62:I63"/>
    <mergeCell ref="B87:L94"/>
    <mergeCell ref="B96:L96"/>
    <mergeCell ref="B98:L98"/>
    <mergeCell ref="G100:G101"/>
    <mergeCell ref="H100:H101"/>
    <mergeCell ref="I100:I101"/>
    <mergeCell ref="J100:J101"/>
    <mergeCell ref="K100:K101"/>
    <mergeCell ref="H81:H83"/>
    <mergeCell ref="I81:I83"/>
    <mergeCell ref="J81:J83"/>
    <mergeCell ref="K81:K83"/>
    <mergeCell ref="B85:L85"/>
    <mergeCell ref="D108:F108"/>
    <mergeCell ref="D109:F109"/>
    <mergeCell ref="D110:F110"/>
    <mergeCell ref="B112:L112"/>
    <mergeCell ref="B102:C104"/>
    <mergeCell ref="D102:F102"/>
    <mergeCell ref="D103:F103"/>
    <mergeCell ref="D104:F104"/>
    <mergeCell ref="B105:C107"/>
    <mergeCell ref="D105:F105"/>
    <mergeCell ref="D106:F106"/>
    <mergeCell ref="D107:F107"/>
    <mergeCell ref="B125:L132"/>
    <mergeCell ref="B24:F25"/>
    <mergeCell ref="B40:F41"/>
    <mergeCell ref="B62:F63"/>
    <mergeCell ref="B100:F101"/>
    <mergeCell ref="B78:F79"/>
    <mergeCell ref="B116:F117"/>
    <mergeCell ref="H119:H121"/>
    <mergeCell ref="I119:I121"/>
    <mergeCell ref="J119:J121"/>
    <mergeCell ref="K119:K121"/>
    <mergeCell ref="B123:L123"/>
    <mergeCell ref="B118:D118"/>
    <mergeCell ref="E118:F118"/>
    <mergeCell ref="B119:D121"/>
    <mergeCell ref="E119:F121"/>
    <mergeCell ref="G119:G121"/>
    <mergeCell ref="B114:L114"/>
    <mergeCell ref="G116:G117"/>
    <mergeCell ref="H116:H117"/>
    <mergeCell ref="I116:I117"/>
    <mergeCell ref="J116:J117"/>
    <mergeCell ref="K116:K117"/>
    <mergeCell ref="B108:C110"/>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49 B139 B153 B166 B87 B125"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104 G34:K34 G31:K31 H26:K28 G28 G42:K43 G72:K72 G69:K69 H64:K66 G66 G80:K81 G110:K110 G107:K107 H102:K104 G118:K119"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29:K30 G32:K33 G64:G65 G67:K68 G70:K71 G102:G103 G105:K106 G108:K109"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3" min="1" max="11" man="1"/>
    <brk id="133"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workbookViewId="0"/>
  </sheetViews>
  <sheetFormatPr defaultColWidth="9.44140625" defaultRowHeight="14.4" x14ac:dyDescent="0.3"/>
  <cols>
    <col min="1" max="1" width="1.5546875" style="8" customWidth="1"/>
    <col min="2" max="2" width="12.44140625" style="1" customWidth="1"/>
    <col min="3" max="3" width="5.5546875" style="1" customWidth="1"/>
    <col min="4" max="4" width="18.5546875" style="1" customWidth="1"/>
    <col min="5" max="12" width="15.44140625" style="1" customWidth="1"/>
    <col min="13" max="13" width="6.44140625" style="9" customWidth="1"/>
    <col min="14" max="14" width="9.44140625" style="10" customWidth="1"/>
    <col min="15" max="15" width="10.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Pro!B2</f>
        <v>PROTECTED</v>
      </c>
      <c r="C2" s="12"/>
      <c r="O2" s="197" t="s">
        <v>93</v>
      </c>
      <c r="P2" s="197" t="s">
        <v>109</v>
      </c>
    </row>
    <row r="3" spans="1:16" x14ac:dyDescent="0.3">
      <c r="B3" s="13"/>
      <c r="C3" s="13"/>
      <c r="O3" s="2"/>
      <c r="P3" s="2"/>
    </row>
    <row r="4" spans="1:16" s="2" customFormat="1" x14ac:dyDescent="0.3">
      <c r="A4" s="4"/>
      <c r="B4" s="588" t="str">
        <f>Info!B4</f>
        <v>IMPORTERS' QUESTIONNAIRE</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ht="14.25" customHeight="1" x14ac:dyDescent="0.3">
      <c r="A6" s="4"/>
      <c r="B6" s="707" t="str">
        <f>Info!B6</f>
        <v>FORGED GRINDING MEDIA</v>
      </c>
      <c r="C6" s="708"/>
      <c r="D6" s="708"/>
      <c r="E6" s="708"/>
      <c r="F6" s="708"/>
      <c r="G6" s="708"/>
      <c r="H6" s="708"/>
      <c r="I6" s="708"/>
      <c r="J6" s="708"/>
      <c r="K6" s="708"/>
      <c r="L6" s="709"/>
      <c r="M6" s="19"/>
      <c r="N6" s="19"/>
      <c r="O6" s="15"/>
      <c r="P6" s="15"/>
    </row>
    <row r="7" spans="1:16" s="6" customFormat="1" x14ac:dyDescent="0.3">
      <c r="A7" s="4"/>
      <c r="B7" s="14"/>
      <c r="C7" s="14"/>
      <c r="D7" s="3"/>
      <c r="E7" s="3"/>
      <c r="F7" s="3"/>
      <c r="G7" s="3"/>
      <c r="H7" s="3"/>
      <c r="I7" s="3"/>
      <c r="J7" s="3"/>
      <c r="K7" s="3"/>
      <c r="L7" s="3"/>
      <c r="O7" s="15"/>
      <c r="P7" s="15"/>
    </row>
    <row r="8" spans="1:16" x14ac:dyDescent="0.3">
      <c r="B8" s="506" t="str">
        <f>IF(Intro!$G$20="English",O8,P8)</f>
        <v>PROTECTED COMMENTS</v>
      </c>
      <c r="C8" s="507"/>
      <c r="D8" s="507"/>
      <c r="E8" s="507"/>
      <c r="F8" s="507"/>
      <c r="G8" s="507"/>
      <c r="H8" s="507"/>
      <c r="I8" s="507"/>
      <c r="J8" s="507"/>
      <c r="K8" s="507"/>
      <c r="L8" s="508"/>
      <c r="M8" s="10"/>
      <c r="O8" s="10" t="s">
        <v>88</v>
      </c>
      <c r="P8" s="10" t="s">
        <v>215</v>
      </c>
    </row>
    <row r="9" spans="1:16" x14ac:dyDescent="0.3">
      <c r="B9" s="16"/>
      <c r="C9" s="35"/>
      <c r="D9" s="36"/>
      <c r="E9" s="36"/>
      <c r="F9" s="36"/>
      <c r="G9" s="36"/>
      <c r="H9" s="36"/>
      <c r="I9" s="36"/>
      <c r="J9" s="36"/>
      <c r="K9" s="36"/>
      <c r="L9" s="17"/>
      <c r="M9" s="10"/>
    </row>
    <row r="10" spans="1:16" x14ac:dyDescent="0.3">
      <c r="B10" s="503" t="str">
        <f>AddPub!B10</f>
        <v>Should your firm wish to add any comments related to its responses, submit them here. Be sure to indicate the applicable question number.</v>
      </c>
      <c r="C10" s="504"/>
      <c r="D10" s="504"/>
      <c r="E10" s="504"/>
      <c r="F10" s="504"/>
      <c r="G10" s="504"/>
      <c r="H10" s="504"/>
      <c r="I10" s="504"/>
      <c r="J10" s="504"/>
      <c r="K10" s="504"/>
      <c r="L10" s="505"/>
      <c r="M10" s="10"/>
      <c r="O10" s="18"/>
    </row>
    <row r="11" spans="1:16" x14ac:dyDescent="0.3">
      <c r="B11" s="61"/>
      <c r="C11" s="35"/>
      <c r="D11" s="36"/>
      <c r="E11" s="36"/>
      <c r="F11" s="36"/>
      <c r="G11" s="36"/>
      <c r="H11" s="36"/>
      <c r="I11" s="36"/>
      <c r="J11" s="36"/>
      <c r="K11" s="36"/>
      <c r="L11" s="17"/>
      <c r="M11" s="10"/>
      <c r="O11" s="47" t="s">
        <v>454</v>
      </c>
      <c r="P11" s="47" t="s">
        <v>455</v>
      </c>
    </row>
    <row r="12" spans="1:16" x14ac:dyDescent="0.3">
      <c r="B12" s="115"/>
      <c r="C12" s="35"/>
      <c r="D12" s="129" t="str">
        <f>IF(Intro!$G$20="English",O11,P11)</f>
        <v>Tab and Question</v>
      </c>
      <c r="E12" s="710" t="str">
        <f>IF(Intro!$G$20="English",O12,P12)</f>
        <v>Comments</v>
      </c>
      <c r="F12" s="710"/>
      <c r="G12" s="710"/>
      <c r="H12" s="710"/>
      <c r="I12" s="710"/>
      <c r="J12" s="710"/>
      <c r="K12" s="710"/>
      <c r="L12" s="711"/>
      <c r="M12" s="10"/>
      <c r="O12" s="18" t="s">
        <v>129</v>
      </c>
      <c r="P12" s="10" t="s">
        <v>130</v>
      </c>
    </row>
    <row r="13" spans="1:16" x14ac:dyDescent="0.3">
      <c r="B13" s="702" t="str">
        <f>IF(Intro!$G$20="English",O13,P13)</f>
        <v>Comment 1</v>
      </c>
      <c r="C13" s="703"/>
      <c r="D13" s="704"/>
      <c r="E13" s="705"/>
      <c r="F13" s="705"/>
      <c r="G13" s="705"/>
      <c r="H13" s="705"/>
      <c r="I13" s="705"/>
      <c r="J13" s="705"/>
      <c r="K13" s="705"/>
      <c r="L13" s="706"/>
      <c r="M13" s="10"/>
      <c r="O13" s="18" t="s">
        <v>131</v>
      </c>
      <c r="P13" s="10" t="s">
        <v>132</v>
      </c>
    </row>
    <row r="14" spans="1:16" x14ac:dyDescent="0.3">
      <c r="B14" s="702"/>
      <c r="C14" s="703"/>
      <c r="D14" s="704"/>
      <c r="E14" s="705"/>
      <c r="F14" s="705"/>
      <c r="G14" s="705"/>
      <c r="H14" s="705"/>
      <c r="I14" s="705"/>
      <c r="J14" s="705"/>
      <c r="K14" s="705"/>
      <c r="L14" s="706"/>
      <c r="M14" s="10"/>
      <c r="O14" s="18"/>
    </row>
    <row r="15" spans="1:16" x14ac:dyDescent="0.3">
      <c r="B15" s="702"/>
      <c r="C15" s="703"/>
      <c r="D15" s="704"/>
      <c r="E15" s="705"/>
      <c r="F15" s="705"/>
      <c r="G15" s="705"/>
      <c r="H15" s="705"/>
      <c r="I15" s="705"/>
      <c r="J15" s="705"/>
      <c r="K15" s="705"/>
      <c r="L15" s="706"/>
      <c r="M15" s="10"/>
      <c r="O15" s="18"/>
    </row>
    <row r="16" spans="1:16" x14ac:dyDescent="0.3">
      <c r="B16" s="702"/>
      <c r="C16" s="703"/>
      <c r="D16" s="704"/>
      <c r="E16" s="705"/>
      <c r="F16" s="705"/>
      <c r="G16" s="705"/>
      <c r="H16" s="705"/>
      <c r="I16" s="705"/>
      <c r="J16" s="705"/>
      <c r="K16" s="705"/>
      <c r="L16" s="706"/>
      <c r="M16" s="10"/>
      <c r="O16" s="18"/>
    </row>
    <row r="17" spans="2:16" x14ac:dyDescent="0.3">
      <c r="B17" s="702"/>
      <c r="C17" s="703"/>
      <c r="D17" s="704"/>
      <c r="E17" s="705"/>
      <c r="F17" s="705"/>
      <c r="G17" s="705"/>
      <c r="H17" s="705"/>
      <c r="I17" s="705"/>
      <c r="J17" s="705"/>
      <c r="K17" s="705"/>
      <c r="L17" s="706"/>
      <c r="M17" s="10"/>
      <c r="O17" s="18"/>
    </row>
    <row r="18" spans="2:16" x14ac:dyDescent="0.3">
      <c r="B18" s="702"/>
      <c r="C18" s="703"/>
      <c r="D18" s="704"/>
      <c r="E18" s="705"/>
      <c r="F18" s="705"/>
      <c r="G18" s="705"/>
      <c r="H18" s="705"/>
      <c r="I18" s="705"/>
      <c r="J18" s="705"/>
      <c r="K18" s="705"/>
      <c r="L18" s="706"/>
      <c r="M18" s="10"/>
      <c r="O18" s="18"/>
    </row>
    <row r="19" spans="2:16" x14ac:dyDescent="0.3">
      <c r="B19" s="702"/>
      <c r="C19" s="703"/>
      <c r="D19" s="704"/>
      <c r="E19" s="705"/>
      <c r="F19" s="705"/>
      <c r="G19" s="705"/>
      <c r="H19" s="705"/>
      <c r="I19" s="705"/>
      <c r="J19" s="705"/>
      <c r="K19" s="705"/>
      <c r="L19" s="706"/>
      <c r="M19" s="10"/>
      <c r="O19" s="18"/>
    </row>
    <row r="20" spans="2:16" x14ac:dyDescent="0.3">
      <c r="B20" s="702"/>
      <c r="C20" s="703"/>
      <c r="D20" s="704"/>
      <c r="E20" s="705"/>
      <c r="F20" s="705"/>
      <c r="G20" s="705"/>
      <c r="H20" s="705"/>
      <c r="I20" s="705"/>
      <c r="J20" s="705"/>
      <c r="K20" s="705"/>
      <c r="L20" s="706"/>
      <c r="M20" s="10"/>
      <c r="O20" s="18"/>
    </row>
    <row r="21" spans="2:16" x14ac:dyDescent="0.3">
      <c r="B21" s="702"/>
      <c r="C21" s="703"/>
      <c r="D21" s="704"/>
      <c r="E21" s="705"/>
      <c r="F21" s="705"/>
      <c r="G21" s="705"/>
      <c r="H21" s="705"/>
      <c r="I21" s="705"/>
      <c r="J21" s="705"/>
      <c r="K21" s="705"/>
      <c r="L21" s="706"/>
      <c r="M21" s="10"/>
      <c r="O21" s="18"/>
    </row>
    <row r="22" spans="2:16" x14ac:dyDescent="0.3">
      <c r="B22" s="702"/>
      <c r="C22" s="703"/>
      <c r="D22" s="704"/>
      <c r="E22" s="705"/>
      <c r="F22" s="705"/>
      <c r="G22" s="705"/>
      <c r="H22" s="705"/>
      <c r="I22" s="705"/>
      <c r="J22" s="705"/>
      <c r="K22" s="705"/>
      <c r="L22" s="706"/>
      <c r="M22" s="10"/>
      <c r="O22" s="18"/>
    </row>
    <row r="23" spans="2:16" x14ac:dyDescent="0.3">
      <c r="B23" s="702" t="str">
        <f>IF(Intro!$G$20="English",O23,P23)</f>
        <v>Comment 2</v>
      </c>
      <c r="C23" s="703"/>
      <c r="D23" s="704"/>
      <c r="E23" s="705"/>
      <c r="F23" s="705"/>
      <c r="G23" s="705"/>
      <c r="H23" s="705"/>
      <c r="I23" s="705"/>
      <c r="J23" s="705"/>
      <c r="K23" s="705"/>
      <c r="L23" s="706"/>
      <c r="M23" s="10"/>
      <c r="O23" s="18" t="s">
        <v>133</v>
      </c>
      <c r="P23" s="10" t="s">
        <v>134</v>
      </c>
    </row>
    <row r="24" spans="2:16" x14ac:dyDescent="0.3">
      <c r="B24" s="702"/>
      <c r="C24" s="703"/>
      <c r="D24" s="704"/>
      <c r="E24" s="705"/>
      <c r="F24" s="705"/>
      <c r="G24" s="705"/>
      <c r="H24" s="705"/>
      <c r="I24" s="705"/>
      <c r="J24" s="705"/>
      <c r="K24" s="705"/>
      <c r="L24" s="706"/>
      <c r="M24" s="10"/>
    </row>
    <row r="25" spans="2:16" x14ac:dyDescent="0.3">
      <c r="B25" s="702"/>
      <c r="C25" s="703"/>
      <c r="D25" s="704"/>
      <c r="E25" s="705"/>
      <c r="F25" s="705"/>
      <c r="G25" s="705"/>
      <c r="H25" s="705"/>
      <c r="I25" s="705"/>
      <c r="J25" s="705"/>
      <c r="K25" s="705"/>
      <c r="L25" s="706"/>
      <c r="M25" s="10"/>
    </row>
    <row r="26" spans="2:16" x14ac:dyDescent="0.3">
      <c r="B26" s="702"/>
      <c r="C26" s="703"/>
      <c r="D26" s="704"/>
      <c r="E26" s="705"/>
      <c r="F26" s="705"/>
      <c r="G26" s="705"/>
      <c r="H26" s="705"/>
      <c r="I26" s="705"/>
      <c r="J26" s="705"/>
      <c r="K26" s="705"/>
      <c r="L26" s="706"/>
      <c r="M26" s="10"/>
    </row>
    <row r="27" spans="2:16" x14ac:dyDescent="0.3">
      <c r="B27" s="702"/>
      <c r="C27" s="703"/>
      <c r="D27" s="704"/>
      <c r="E27" s="705"/>
      <c r="F27" s="705"/>
      <c r="G27" s="705"/>
      <c r="H27" s="705"/>
      <c r="I27" s="705"/>
      <c r="J27" s="705"/>
      <c r="K27" s="705"/>
      <c r="L27" s="706"/>
      <c r="M27" s="10"/>
      <c r="O27" s="18"/>
    </row>
    <row r="28" spans="2:16" x14ac:dyDescent="0.3">
      <c r="B28" s="702"/>
      <c r="C28" s="703"/>
      <c r="D28" s="704"/>
      <c r="E28" s="705"/>
      <c r="F28" s="705"/>
      <c r="G28" s="705"/>
      <c r="H28" s="705"/>
      <c r="I28" s="705"/>
      <c r="J28" s="705"/>
      <c r="K28" s="705"/>
      <c r="L28" s="706"/>
      <c r="M28" s="10"/>
      <c r="O28" s="18"/>
    </row>
    <row r="29" spans="2:16" x14ac:dyDescent="0.3">
      <c r="B29" s="702"/>
      <c r="C29" s="703"/>
      <c r="D29" s="704"/>
      <c r="E29" s="705"/>
      <c r="F29" s="705"/>
      <c r="G29" s="705"/>
      <c r="H29" s="705"/>
      <c r="I29" s="705"/>
      <c r="J29" s="705"/>
      <c r="K29" s="705"/>
      <c r="L29" s="706"/>
      <c r="M29" s="10"/>
      <c r="O29" s="18"/>
    </row>
    <row r="30" spans="2:16" x14ac:dyDescent="0.3">
      <c r="B30" s="702"/>
      <c r="C30" s="703"/>
      <c r="D30" s="704"/>
      <c r="E30" s="705"/>
      <c r="F30" s="705"/>
      <c r="G30" s="705"/>
      <c r="H30" s="705"/>
      <c r="I30" s="705"/>
      <c r="J30" s="705"/>
      <c r="K30" s="705"/>
      <c r="L30" s="706"/>
      <c r="M30" s="10"/>
      <c r="O30" s="18"/>
    </row>
    <row r="31" spans="2:16" x14ac:dyDescent="0.3">
      <c r="B31" s="702"/>
      <c r="C31" s="703"/>
      <c r="D31" s="704"/>
      <c r="E31" s="705"/>
      <c r="F31" s="705"/>
      <c r="G31" s="705"/>
      <c r="H31" s="705"/>
      <c r="I31" s="705"/>
      <c r="J31" s="705"/>
      <c r="K31" s="705"/>
      <c r="L31" s="706"/>
      <c r="M31" s="10"/>
      <c r="O31" s="18"/>
    </row>
    <row r="32" spans="2:16" x14ac:dyDescent="0.3">
      <c r="B32" s="702"/>
      <c r="C32" s="703"/>
      <c r="D32" s="704"/>
      <c r="E32" s="705"/>
      <c r="F32" s="705"/>
      <c r="G32" s="705"/>
      <c r="H32" s="705"/>
      <c r="I32" s="705"/>
      <c r="J32" s="705"/>
      <c r="K32" s="705"/>
      <c r="L32" s="706"/>
      <c r="M32" s="10"/>
      <c r="O32" s="18"/>
    </row>
    <row r="33" spans="2:16" x14ac:dyDescent="0.3">
      <c r="B33" s="702" t="str">
        <f>IF(Intro!$G$20="English",O33,P33)</f>
        <v>Comment 3</v>
      </c>
      <c r="C33" s="703"/>
      <c r="D33" s="704"/>
      <c r="E33" s="705"/>
      <c r="F33" s="705"/>
      <c r="G33" s="705"/>
      <c r="H33" s="705"/>
      <c r="I33" s="705"/>
      <c r="J33" s="705"/>
      <c r="K33" s="705"/>
      <c r="L33" s="706"/>
      <c r="M33" s="10"/>
      <c r="O33" s="18" t="s">
        <v>135</v>
      </c>
      <c r="P33" s="10" t="s">
        <v>136</v>
      </c>
    </row>
    <row r="34" spans="2:16" x14ac:dyDescent="0.3">
      <c r="B34" s="702"/>
      <c r="C34" s="703"/>
      <c r="D34" s="704"/>
      <c r="E34" s="705"/>
      <c r="F34" s="705"/>
      <c r="G34" s="705"/>
      <c r="H34" s="705"/>
      <c r="I34" s="705"/>
      <c r="J34" s="705"/>
      <c r="K34" s="705"/>
      <c r="L34" s="706"/>
      <c r="M34" s="10"/>
      <c r="O34" s="18"/>
    </row>
    <row r="35" spans="2:16" x14ac:dyDescent="0.3">
      <c r="B35" s="702"/>
      <c r="C35" s="703"/>
      <c r="D35" s="704"/>
      <c r="E35" s="705"/>
      <c r="F35" s="705"/>
      <c r="G35" s="705"/>
      <c r="H35" s="705"/>
      <c r="I35" s="705"/>
      <c r="J35" s="705"/>
      <c r="K35" s="705"/>
      <c r="L35" s="706"/>
      <c r="M35" s="10"/>
      <c r="O35" s="18"/>
    </row>
    <row r="36" spans="2:16" x14ac:dyDescent="0.3">
      <c r="B36" s="702"/>
      <c r="C36" s="703"/>
      <c r="D36" s="704"/>
      <c r="E36" s="705"/>
      <c r="F36" s="705"/>
      <c r="G36" s="705"/>
      <c r="H36" s="705"/>
      <c r="I36" s="705"/>
      <c r="J36" s="705"/>
      <c r="K36" s="705"/>
      <c r="L36" s="706"/>
      <c r="M36" s="10"/>
      <c r="O36" s="18"/>
    </row>
    <row r="37" spans="2:16" x14ac:dyDescent="0.3">
      <c r="B37" s="702"/>
      <c r="C37" s="703"/>
      <c r="D37" s="704"/>
      <c r="E37" s="705"/>
      <c r="F37" s="705"/>
      <c r="G37" s="705"/>
      <c r="H37" s="705"/>
      <c r="I37" s="705"/>
      <c r="J37" s="705"/>
      <c r="K37" s="705"/>
      <c r="L37" s="706"/>
      <c r="M37" s="10"/>
      <c r="O37" s="18"/>
    </row>
    <row r="38" spans="2:16" x14ac:dyDescent="0.3">
      <c r="B38" s="702"/>
      <c r="C38" s="703"/>
      <c r="D38" s="704"/>
      <c r="E38" s="705"/>
      <c r="F38" s="705"/>
      <c r="G38" s="705"/>
      <c r="H38" s="705"/>
      <c r="I38" s="705"/>
      <c r="J38" s="705"/>
      <c r="K38" s="705"/>
      <c r="L38" s="706"/>
      <c r="M38" s="10"/>
      <c r="O38" s="18"/>
    </row>
    <row r="39" spans="2:16" x14ac:dyDescent="0.3">
      <c r="B39" s="702"/>
      <c r="C39" s="703"/>
      <c r="D39" s="704"/>
      <c r="E39" s="705"/>
      <c r="F39" s="705"/>
      <c r="G39" s="705"/>
      <c r="H39" s="705"/>
      <c r="I39" s="705"/>
      <c r="J39" s="705"/>
      <c r="K39" s="705"/>
      <c r="L39" s="706"/>
      <c r="M39" s="10"/>
      <c r="O39" s="18"/>
    </row>
    <row r="40" spans="2:16" x14ac:dyDescent="0.3">
      <c r="B40" s="702"/>
      <c r="C40" s="703"/>
      <c r="D40" s="704"/>
      <c r="E40" s="705"/>
      <c r="F40" s="705"/>
      <c r="G40" s="705"/>
      <c r="H40" s="705"/>
      <c r="I40" s="705"/>
      <c r="J40" s="705"/>
      <c r="K40" s="705"/>
      <c r="L40" s="706"/>
      <c r="M40" s="10"/>
      <c r="O40" s="18"/>
    </row>
    <row r="41" spans="2:16" x14ac:dyDescent="0.3">
      <c r="B41" s="702"/>
      <c r="C41" s="703"/>
      <c r="D41" s="704"/>
      <c r="E41" s="705"/>
      <c r="F41" s="705"/>
      <c r="G41" s="705"/>
      <c r="H41" s="705"/>
      <c r="I41" s="705"/>
      <c r="J41" s="705"/>
      <c r="K41" s="705"/>
      <c r="L41" s="706"/>
      <c r="M41" s="10"/>
      <c r="O41" s="18"/>
    </row>
    <row r="42" spans="2:16" x14ac:dyDescent="0.3">
      <c r="B42" s="702"/>
      <c r="C42" s="703"/>
      <c r="D42" s="704"/>
      <c r="E42" s="705"/>
      <c r="F42" s="705"/>
      <c r="G42" s="705"/>
      <c r="H42" s="705"/>
      <c r="I42" s="705"/>
      <c r="J42" s="705"/>
      <c r="K42" s="705"/>
      <c r="L42" s="706"/>
      <c r="M42" s="10"/>
      <c r="O42" s="18"/>
    </row>
    <row r="43" spans="2:16" x14ac:dyDescent="0.3">
      <c r="B43" s="702" t="str">
        <f>IF(Intro!$G$20="English",O43,P43)</f>
        <v>Comment 4</v>
      </c>
      <c r="C43" s="703"/>
      <c r="D43" s="704"/>
      <c r="E43" s="705"/>
      <c r="F43" s="705"/>
      <c r="G43" s="705"/>
      <c r="H43" s="705"/>
      <c r="I43" s="705"/>
      <c r="J43" s="705"/>
      <c r="K43" s="705"/>
      <c r="L43" s="706"/>
      <c r="M43" s="10"/>
      <c r="O43" s="18" t="s">
        <v>137</v>
      </c>
      <c r="P43" s="10" t="s">
        <v>138</v>
      </c>
    </row>
    <row r="44" spans="2:16" x14ac:dyDescent="0.3">
      <c r="B44" s="702"/>
      <c r="C44" s="703"/>
      <c r="D44" s="704"/>
      <c r="E44" s="705"/>
      <c r="F44" s="705"/>
      <c r="G44" s="705"/>
      <c r="H44" s="705"/>
      <c r="I44" s="705"/>
      <c r="J44" s="705"/>
      <c r="K44" s="705"/>
      <c r="L44" s="706"/>
      <c r="M44" s="10"/>
      <c r="O44" s="18"/>
    </row>
    <row r="45" spans="2:16" x14ac:dyDescent="0.3">
      <c r="B45" s="702"/>
      <c r="C45" s="703"/>
      <c r="D45" s="704"/>
      <c r="E45" s="705"/>
      <c r="F45" s="705"/>
      <c r="G45" s="705"/>
      <c r="H45" s="705"/>
      <c r="I45" s="705"/>
      <c r="J45" s="705"/>
      <c r="K45" s="705"/>
      <c r="L45" s="706"/>
      <c r="M45" s="10"/>
      <c r="O45" s="18"/>
    </row>
    <row r="46" spans="2:16" x14ac:dyDescent="0.3">
      <c r="B46" s="702"/>
      <c r="C46" s="703"/>
      <c r="D46" s="704"/>
      <c r="E46" s="705"/>
      <c r="F46" s="705"/>
      <c r="G46" s="705"/>
      <c r="H46" s="705"/>
      <c r="I46" s="705"/>
      <c r="J46" s="705"/>
      <c r="K46" s="705"/>
      <c r="L46" s="706"/>
      <c r="M46" s="10"/>
      <c r="O46" s="18"/>
    </row>
    <row r="47" spans="2:16" x14ac:dyDescent="0.3">
      <c r="B47" s="702"/>
      <c r="C47" s="703"/>
      <c r="D47" s="704"/>
      <c r="E47" s="705"/>
      <c r="F47" s="705"/>
      <c r="G47" s="705"/>
      <c r="H47" s="705"/>
      <c r="I47" s="705"/>
      <c r="J47" s="705"/>
      <c r="K47" s="705"/>
      <c r="L47" s="706"/>
      <c r="M47" s="10"/>
      <c r="O47" s="18"/>
    </row>
    <row r="48" spans="2:16" x14ac:dyDescent="0.3">
      <c r="B48" s="702"/>
      <c r="C48" s="703"/>
      <c r="D48" s="704"/>
      <c r="E48" s="705"/>
      <c r="F48" s="705"/>
      <c r="G48" s="705"/>
      <c r="H48" s="705"/>
      <c r="I48" s="705"/>
      <c r="J48" s="705"/>
      <c r="K48" s="705"/>
      <c r="L48" s="706"/>
      <c r="M48" s="10"/>
      <c r="O48" s="18"/>
    </row>
    <row r="49" spans="1:16" x14ac:dyDescent="0.3">
      <c r="B49" s="702"/>
      <c r="C49" s="703"/>
      <c r="D49" s="704"/>
      <c r="E49" s="705"/>
      <c r="F49" s="705"/>
      <c r="G49" s="705"/>
      <c r="H49" s="705"/>
      <c r="I49" s="705"/>
      <c r="J49" s="705"/>
      <c r="K49" s="705"/>
      <c r="L49" s="706"/>
      <c r="M49" s="10"/>
      <c r="O49" s="18"/>
    </row>
    <row r="50" spans="1:16" x14ac:dyDescent="0.3">
      <c r="B50" s="702"/>
      <c r="C50" s="703"/>
      <c r="D50" s="704"/>
      <c r="E50" s="705"/>
      <c r="F50" s="705"/>
      <c r="G50" s="705"/>
      <c r="H50" s="705"/>
      <c r="I50" s="705"/>
      <c r="J50" s="705"/>
      <c r="K50" s="705"/>
      <c r="L50" s="706"/>
      <c r="M50" s="10"/>
      <c r="O50" s="18"/>
    </row>
    <row r="51" spans="1:16" x14ac:dyDescent="0.3">
      <c r="B51" s="702"/>
      <c r="C51" s="703"/>
      <c r="D51" s="704"/>
      <c r="E51" s="705"/>
      <c r="F51" s="705"/>
      <c r="G51" s="705"/>
      <c r="H51" s="705"/>
      <c r="I51" s="705"/>
      <c r="J51" s="705"/>
      <c r="K51" s="705"/>
      <c r="L51" s="706"/>
      <c r="M51" s="10"/>
      <c r="O51" s="18"/>
    </row>
    <row r="52" spans="1:16" x14ac:dyDescent="0.3">
      <c r="B52" s="702"/>
      <c r="C52" s="703"/>
      <c r="D52" s="704"/>
      <c r="E52" s="705"/>
      <c r="F52" s="705"/>
      <c r="G52" s="705"/>
      <c r="H52" s="705"/>
      <c r="I52" s="705"/>
      <c r="J52" s="705"/>
      <c r="K52" s="705"/>
      <c r="L52" s="706"/>
      <c r="M52" s="10"/>
      <c r="O52" s="18"/>
    </row>
    <row r="53" spans="1:16" x14ac:dyDescent="0.3">
      <c r="B53" s="702" t="str">
        <f>IF(Intro!$G$20="English",O53,P53)</f>
        <v>Comment 5</v>
      </c>
      <c r="C53" s="703"/>
      <c r="D53" s="704"/>
      <c r="E53" s="705"/>
      <c r="F53" s="705"/>
      <c r="G53" s="705"/>
      <c r="H53" s="705"/>
      <c r="I53" s="705"/>
      <c r="J53" s="705"/>
      <c r="K53" s="705"/>
      <c r="L53" s="706"/>
      <c r="M53" s="10"/>
      <c r="O53" s="18" t="s">
        <v>139</v>
      </c>
      <c r="P53" s="10" t="s">
        <v>140</v>
      </c>
    </row>
    <row r="54" spans="1:16" x14ac:dyDescent="0.3">
      <c r="B54" s="702"/>
      <c r="C54" s="703"/>
      <c r="D54" s="704"/>
      <c r="E54" s="705"/>
      <c r="F54" s="705"/>
      <c r="G54" s="705"/>
      <c r="H54" s="705"/>
      <c r="I54" s="705"/>
      <c r="J54" s="705"/>
      <c r="K54" s="705"/>
      <c r="L54" s="706"/>
      <c r="M54" s="10"/>
      <c r="O54" s="18"/>
    </row>
    <row r="55" spans="1:16" x14ac:dyDescent="0.3">
      <c r="B55" s="702"/>
      <c r="C55" s="703"/>
      <c r="D55" s="704"/>
      <c r="E55" s="705"/>
      <c r="F55" s="705"/>
      <c r="G55" s="705"/>
      <c r="H55" s="705"/>
      <c r="I55" s="705"/>
      <c r="J55" s="705"/>
      <c r="K55" s="705"/>
      <c r="L55" s="706"/>
      <c r="M55" s="10"/>
      <c r="O55" s="18"/>
    </row>
    <row r="56" spans="1:16" x14ac:dyDescent="0.3">
      <c r="B56" s="702"/>
      <c r="C56" s="703"/>
      <c r="D56" s="704"/>
      <c r="E56" s="705"/>
      <c r="F56" s="705"/>
      <c r="G56" s="705"/>
      <c r="H56" s="705"/>
      <c r="I56" s="705"/>
      <c r="J56" s="705"/>
      <c r="K56" s="705"/>
      <c r="L56" s="706"/>
      <c r="M56" s="10"/>
      <c r="O56" s="18"/>
    </row>
    <row r="57" spans="1:16" x14ac:dyDescent="0.3">
      <c r="B57" s="702"/>
      <c r="C57" s="703"/>
      <c r="D57" s="704"/>
      <c r="E57" s="705"/>
      <c r="F57" s="705"/>
      <c r="G57" s="705"/>
      <c r="H57" s="705"/>
      <c r="I57" s="705"/>
      <c r="J57" s="705"/>
      <c r="K57" s="705"/>
      <c r="L57" s="706"/>
      <c r="M57" s="10"/>
      <c r="O57" s="18"/>
    </row>
    <row r="58" spans="1:16" x14ac:dyDescent="0.3">
      <c r="B58" s="702"/>
      <c r="C58" s="703"/>
      <c r="D58" s="704"/>
      <c r="E58" s="705"/>
      <c r="F58" s="705"/>
      <c r="G58" s="705"/>
      <c r="H58" s="705"/>
      <c r="I58" s="705"/>
      <c r="J58" s="705"/>
      <c r="K58" s="705"/>
      <c r="L58" s="706"/>
      <c r="M58" s="10"/>
      <c r="O58" s="18"/>
    </row>
    <row r="59" spans="1:16" x14ac:dyDescent="0.3">
      <c r="B59" s="702"/>
      <c r="C59" s="703"/>
      <c r="D59" s="704"/>
      <c r="E59" s="705"/>
      <c r="F59" s="705"/>
      <c r="G59" s="705"/>
      <c r="H59" s="705"/>
      <c r="I59" s="705"/>
      <c r="J59" s="705"/>
      <c r="K59" s="705"/>
      <c r="L59" s="706"/>
      <c r="M59" s="10"/>
      <c r="O59" s="18"/>
    </row>
    <row r="60" spans="1:16" x14ac:dyDescent="0.3">
      <c r="B60" s="702"/>
      <c r="C60" s="703"/>
      <c r="D60" s="704"/>
      <c r="E60" s="705"/>
      <c r="F60" s="705"/>
      <c r="G60" s="705"/>
      <c r="H60" s="705"/>
      <c r="I60" s="705"/>
      <c r="J60" s="705"/>
      <c r="K60" s="705"/>
      <c r="L60" s="706"/>
      <c r="M60" s="10"/>
      <c r="O60" s="18"/>
    </row>
    <row r="61" spans="1:16" x14ac:dyDescent="0.3">
      <c r="B61" s="702"/>
      <c r="C61" s="703"/>
      <c r="D61" s="704"/>
      <c r="E61" s="705"/>
      <c r="F61" s="705"/>
      <c r="G61" s="705"/>
      <c r="H61" s="705"/>
      <c r="I61" s="705"/>
      <c r="J61" s="705"/>
      <c r="K61" s="705"/>
      <c r="L61" s="706"/>
      <c r="M61" s="10"/>
      <c r="O61" s="18"/>
    </row>
    <row r="62" spans="1:16" x14ac:dyDescent="0.3">
      <c r="B62" s="712"/>
      <c r="C62" s="713"/>
      <c r="D62" s="714"/>
      <c r="E62" s="715"/>
      <c r="F62" s="715"/>
      <c r="G62" s="715"/>
      <c r="H62" s="715"/>
      <c r="I62" s="715"/>
      <c r="J62" s="715"/>
      <c r="K62" s="715"/>
      <c r="L62" s="716"/>
      <c r="M62" s="10"/>
      <c r="O62" s="18"/>
    </row>
    <row r="63" spans="1:16" s="44" customFormat="1" x14ac:dyDescent="0.3">
      <c r="A63" s="76"/>
      <c r="B63" s="4"/>
      <c r="C63" s="77"/>
      <c r="D63" s="77"/>
      <c r="E63" s="77"/>
      <c r="F63" s="77"/>
      <c r="G63" s="77"/>
      <c r="H63" s="77"/>
      <c r="I63" s="77"/>
      <c r="J63" s="77"/>
      <c r="K63" s="77"/>
      <c r="L63" s="77"/>
      <c r="N63" s="78"/>
    </row>
  </sheetData>
  <sheetProtection algorithmName="SHA-512" hashValue="ZF9uIysLex88h/a1pJwclXTwRLk2i6qRTGXHwmXrz4FqSiea4Cym7QtHQzTIUasx7ci+3sgm3uC/lIuBmOS4ig==" saltValue="G3T9wwGRUxX2P2Y4WMQv1w==" spinCount="100000" sheet="1" objects="1" scenarios="1" selectLockedCells="1"/>
  <mergeCells count="21">
    <mergeCell ref="B53:C62"/>
    <mergeCell ref="D53:D62"/>
    <mergeCell ref="E53:L62"/>
    <mergeCell ref="E23:L32"/>
    <mergeCell ref="B33:C42"/>
    <mergeCell ref="D33:D42"/>
    <mergeCell ref="E33:L42"/>
    <mergeCell ref="B43:C52"/>
    <mergeCell ref="D43:D52"/>
    <mergeCell ref="E43:L52"/>
    <mergeCell ref="B4:L4"/>
    <mergeCell ref="B5:L5"/>
    <mergeCell ref="B6:L6"/>
    <mergeCell ref="B10:L10"/>
    <mergeCell ref="B8:L8"/>
    <mergeCell ref="E12:L12"/>
    <mergeCell ref="B13:C22"/>
    <mergeCell ref="D13:D22"/>
    <mergeCell ref="E13:L22"/>
    <mergeCell ref="B23:C32"/>
    <mergeCell ref="D23:D32"/>
  </mergeCells>
  <dataValidations count="2">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3 E33 E43 E53 E13" xr:uid="{B92FEF87-A425-4F02-8AC2-0EF59A6CC48F}">
      <formula1>1000</formula1>
    </dataValidation>
    <dataValidation allowBlank="1" showInputMessage="1" showErrorMessage="1" sqref="D13:D62" xr:uid="{0B10D565-8D89-4087-BA66-96508C314600}"/>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69"/>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10.5546875" style="10" hidden="1" customWidth="1"/>
    <col min="16" max="16" width="8.5546875" style="10" hidden="1" customWidth="1"/>
    <col min="17" max="19" width="9.44140625" style="10" customWidth="1"/>
    <col min="20" max="16384" width="9.44140625" style="10"/>
  </cols>
  <sheetData>
    <row r="1" spans="1:16" x14ac:dyDescent="0.3">
      <c r="O1" s="10" t="s">
        <v>481</v>
      </c>
      <c r="P1" s="10" t="s">
        <v>481</v>
      </c>
    </row>
    <row r="2" spans="1:16" x14ac:dyDescent="0.3">
      <c r="B2" s="12" t="s">
        <v>66</v>
      </c>
      <c r="O2" s="197" t="s">
        <v>93</v>
      </c>
      <c r="P2" s="197" t="s">
        <v>109</v>
      </c>
    </row>
    <row r="3" spans="1:16" x14ac:dyDescent="0.3">
      <c r="B3" s="13"/>
      <c r="O3" s="2"/>
      <c r="P3" s="2"/>
    </row>
    <row r="4" spans="1:16" s="2" customFormat="1" x14ac:dyDescent="0.3">
      <c r="A4" s="4"/>
      <c r="B4" s="588" t="str">
        <f>Info!B4</f>
        <v>IMPORTERS' QUESTIONNAIRE</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ht="14.25" customHeight="1" x14ac:dyDescent="0.3">
      <c r="A6" s="4"/>
      <c r="B6" s="707" t="str">
        <f>Info!B6</f>
        <v>FORGED GRINDING MEDIA</v>
      </c>
      <c r="C6" s="708"/>
      <c r="D6" s="708"/>
      <c r="E6" s="708"/>
      <c r="F6" s="708"/>
      <c r="G6" s="708"/>
      <c r="H6" s="708"/>
      <c r="I6" s="708"/>
      <c r="J6" s="708"/>
      <c r="K6" s="708"/>
      <c r="L6" s="709"/>
      <c r="M6" s="19"/>
      <c r="N6" s="19"/>
      <c r="O6" s="15"/>
      <c r="P6" s="15"/>
    </row>
    <row r="7" spans="1:16" s="6" customFormat="1" x14ac:dyDescent="0.3">
      <c r="A7" s="4"/>
      <c r="B7" s="14"/>
      <c r="C7" s="3"/>
      <c r="D7" s="3"/>
      <c r="E7" s="3"/>
      <c r="F7" s="3"/>
      <c r="G7" s="3"/>
      <c r="H7" s="3"/>
      <c r="I7" s="3"/>
      <c r="J7" s="3"/>
      <c r="K7" s="3"/>
      <c r="L7" s="3"/>
      <c r="O7" s="15"/>
      <c r="P7" s="15"/>
    </row>
    <row r="8" spans="1:16" x14ac:dyDescent="0.3">
      <c r="B8" s="506" t="str">
        <f>IF(Intro!$G$20="English",O8,P8)</f>
        <v>CONFIRMATION OF REPORTED DATA</v>
      </c>
      <c r="C8" s="507"/>
      <c r="D8" s="507"/>
      <c r="E8" s="507"/>
      <c r="F8" s="507"/>
      <c r="G8" s="507"/>
      <c r="H8" s="507"/>
      <c r="I8" s="507"/>
      <c r="J8" s="507"/>
      <c r="K8" s="507"/>
      <c r="L8" s="508"/>
      <c r="M8" s="10"/>
      <c r="O8" s="10" t="s">
        <v>60</v>
      </c>
      <c r="P8" s="10" t="s">
        <v>29</v>
      </c>
    </row>
    <row r="9" spans="1:16" x14ac:dyDescent="0.3">
      <c r="B9" s="506" t="str">
        <f>IF(Intro!$G$20="English",O9,P9)</f>
        <v>GENERAL</v>
      </c>
      <c r="C9" s="507"/>
      <c r="D9" s="507"/>
      <c r="E9" s="507"/>
      <c r="F9" s="507"/>
      <c r="G9" s="507"/>
      <c r="H9" s="507"/>
      <c r="I9" s="507"/>
      <c r="J9" s="507"/>
      <c r="K9" s="507"/>
      <c r="L9" s="508"/>
      <c r="M9" s="10"/>
      <c r="O9" s="107" t="s">
        <v>347</v>
      </c>
      <c r="P9" s="107" t="s">
        <v>348</v>
      </c>
    </row>
    <row r="10" spans="1:16" x14ac:dyDescent="0.3">
      <c r="B10" s="74"/>
      <c r="C10" s="75"/>
      <c r="D10" s="75"/>
      <c r="E10" s="75"/>
      <c r="F10" s="75"/>
      <c r="G10" s="75"/>
      <c r="H10" s="75"/>
      <c r="I10" s="75"/>
      <c r="J10" s="75"/>
      <c r="K10" s="75"/>
      <c r="L10" s="58"/>
      <c r="M10" s="10"/>
    </row>
    <row r="11" spans="1:16" s="9" customFormat="1" x14ac:dyDescent="0.3">
      <c r="A11" s="194"/>
      <c r="B11" s="237"/>
      <c r="C11" s="1"/>
      <c r="D11" s="1"/>
      <c r="E11" s="1"/>
      <c r="F11" s="1"/>
      <c r="G11" s="1"/>
      <c r="H11" s="1"/>
      <c r="I11" s="1"/>
      <c r="J11" s="248" t="str">
        <f>IF(Intro!$G$20="English",O11,P11)</f>
        <v>Select Yes or No</v>
      </c>
      <c r="K11" s="1"/>
      <c r="L11" s="195"/>
      <c r="O11" s="9" t="s">
        <v>176</v>
      </c>
      <c r="P11" s="9" t="s">
        <v>431</v>
      </c>
    </row>
    <row r="12" spans="1:16" s="38" customFormat="1" x14ac:dyDescent="0.3">
      <c r="A12" s="49"/>
      <c r="B12" s="540" t="str">
        <f>IF(Intro!$G$20="English",O12,P12)</f>
        <v>Confirm that all data reported in this questionnaire pertain to the goods as defined in the "Intro" tab.</v>
      </c>
      <c r="C12" s="541"/>
      <c r="D12" s="541"/>
      <c r="E12" s="541"/>
      <c r="F12" s="541"/>
      <c r="G12" s="541"/>
      <c r="H12" s="541"/>
      <c r="I12" s="541"/>
      <c r="J12" s="207"/>
      <c r="K12" s="1"/>
      <c r="L12" s="54"/>
      <c r="O12" s="38" t="s">
        <v>452</v>
      </c>
      <c r="P12" s="38" t="s">
        <v>453</v>
      </c>
    </row>
    <row r="13" spans="1:16" s="38" customFormat="1" x14ac:dyDescent="0.3">
      <c r="A13" s="49"/>
      <c r="B13" s="540" t="str">
        <f>IF(Intro!$G$20="English",O13,P13)</f>
        <v>Confirm that all the sources of imports (countries) of the goods have been reported in this questionnaire.</v>
      </c>
      <c r="C13" s="541"/>
      <c r="D13" s="541"/>
      <c r="E13" s="541"/>
      <c r="F13" s="541"/>
      <c r="G13" s="541"/>
      <c r="H13" s="541"/>
      <c r="I13" s="541"/>
      <c r="J13" s="252"/>
      <c r="K13" s="1"/>
      <c r="L13" s="54"/>
      <c r="O13" s="38" t="s">
        <v>534</v>
      </c>
      <c r="P13" s="38" t="s">
        <v>535</v>
      </c>
    </row>
    <row r="14" spans="1:16" s="38" customFormat="1" x14ac:dyDescent="0.3">
      <c r="A14" s="49"/>
      <c r="B14" s="540" t="str">
        <f>IF(Intro!$G$20="English",O14,P14)</f>
        <v>Confirm that all volumes reported in this questionnaire are in tonnes.</v>
      </c>
      <c r="C14" s="541"/>
      <c r="D14" s="541"/>
      <c r="E14" s="541"/>
      <c r="F14" s="541"/>
      <c r="G14" s="541"/>
      <c r="H14" s="541"/>
      <c r="I14" s="541"/>
      <c r="J14" s="146"/>
      <c r="K14" s="1"/>
      <c r="L14" s="71"/>
      <c r="O14" s="38" t="str">
        <f>"Confirm that all volumes reported in this questionnaire are in "&amp;(Variables!B23)&amp;"."</f>
        <v>Confirm that all volumes reported in this questionnaire are in tonnes.</v>
      </c>
      <c r="P14" s="38" t="str">
        <f>"Confirmez que tous les volumes déclarés dans ce questionnaire sont en "&amp;(Variables!C23)&amp;"."</f>
        <v>Confirmez que tous les volumes déclarés dans ce questionnaire sont en tonnes.</v>
      </c>
    </row>
    <row r="15" spans="1:16" s="38" customFormat="1" x14ac:dyDescent="0.3">
      <c r="A15" s="49"/>
      <c r="B15" s="540" t="str">
        <f>IF(Intro!$G$20="English",O15,P15)</f>
        <v>Confirm that all values reported in this questionnaire are in Canadian dollars.</v>
      </c>
      <c r="C15" s="541" t="str">
        <f>IF(SUM(Pro!E19:E19)&lt;&gt;0,"X","-")</f>
        <v>-</v>
      </c>
      <c r="D15" s="541" t="str">
        <f>IF(SUM(Pro!F19:F19)&lt;&gt;0,"X","-")</f>
        <v>-</v>
      </c>
      <c r="E15" s="541" t="str">
        <f>IF(SUM(Pro!G19:G19)&lt;&gt;0,"X","-")</f>
        <v>-</v>
      </c>
      <c r="F15" s="541" t="str">
        <f>IF(SUM(Pro!H19:H19)&lt;&gt;0,"X","-")</f>
        <v>-</v>
      </c>
      <c r="G15" s="541" t="str">
        <f>IF(SUM(Pro!I19:I19)&lt;&gt;0,"X","-")</f>
        <v>-</v>
      </c>
      <c r="H15" s="541"/>
      <c r="I15" s="541"/>
      <c r="J15" s="146"/>
      <c r="K15" s="1"/>
      <c r="L15" s="71"/>
      <c r="O15" s="38" t="s">
        <v>217</v>
      </c>
      <c r="P15" s="38" t="s">
        <v>216</v>
      </c>
    </row>
    <row r="16" spans="1:16" s="38" customFormat="1" x14ac:dyDescent="0.3">
      <c r="A16" s="49"/>
      <c r="B16" s="540" t="str">
        <f>IF(Intro!$G$20="English",O16,P16)</f>
        <v>Confirm that all information is reported on a calendar-year basis.</v>
      </c>
      <c r="C16" s="541" t="e">
        <f>IF(SUM(Pro!#REF!)&lt;&gt;0,"X","-")</f>
        <v>#REF!</v>
      </c>
      <c r="D16" s="541" t="e">
        <f>IF(SUM(Pro!#REF!)&lt;&gt;0,"X","-")</f>
        <v>#REF!</v>
      </c>
      <c r="E16" s="541" t="e">
        <f>IF(SUM(Pro!#REF!)&lt;&gt;0,"X","-")</f>
        <v>#REF!</v>
      </c>
      <c r="F16" s="541" t="e">
        <f>IF(SUM(Pro!#REF!)&lt;&gt;0,"X","-")</f>
        <v>#REF!</v>
      </c>
      <c r="G16" s="541" t="e">
        <f>IF(SUM(Pro!#REF!)&lt;&gt;0,"X","-")</f>
        <v>#REF!</v>
      </c>
      <c r="H16" s="541"/>
      <c r="I16" s="541"/>
      <c r="J16" s="146"/>
      <c r="K16" s="1"/>
      <c r="L16" s="54"/>
      <c r="O16" s="38" t="s">
        <v>89</v>
      </c>
      <c r="P16" s="38" t="s">
        <v>90</v>
      </c>
    </row>
    <row r="17" spans="1:16" x14ac:dyDescent="0.3">
      <c r="B17" s="74"/>
      <c r="C17" s="75"/>
      <c r="D17" s="75"/>
      <c r="E17" s="75"/>
      <c r="F17" s="75"/>
      <c r="G17" s="75"/>
      <c r="H17" s="75"/>
      <c r="I17" s="75"/>
      <c r="J17" s="75"/>
      <c r="K17" s="75"/>
      <c r="L17" s="58"/>
      <c r="M17" s="10"/>
    </row>
    <row r="18" spans="1:16" x14ac:dyDescent="0.3">
      <c r="B18" s="503" t="str">
        <f>IF(Intro!$G$20="English",O18,P18)</f>
        <v>If no, explain.</v>
      </c>
      <c r="C18" s="504"/>
      <c r="D18" s="504"/>
      <c r="E18" s="504"/>
      <c r="F18" s="504"/>
      <c r="G18" s="504"/>
      <c r="H18" s="504"/>
      <c r="I18" s="504"/>
      <c r="J18" s="504"/>
      <c r="K18" s="504"/>
      <c r="L18" s="505"/>
      <c r="M18" s="10"/>
      <c r="O18" s="55" t="s">
        <v>378</v>
      </c>
      <c r="P18" s="6" t="s">
        <v>379</v>
      </c>
    </row>
    <row r="19" spans="1:16" s="38" customFormat="1" x14ac:dyDescent="0.3">
      <c r="A19" s="49"/>
      <c r="B19" s="53"/>
      <c r="C19" s="151"/>
      <c r="D19" s="151"/>
      <c r="E19" s="151"/>
      <c r="F19" s="151"/>
      <c r="G19" s="151"/>
      <c r="H19" s="151"/>
      <c r="I19" s="151"/>
      <c r="J19" s="151"/>
      <c r="K19" s="151"/>
      <c r="L19" s="54"/>
      <c r="O19" s="6"/>
      <c r="P19" s="6"/>
    </row>
    <row r="20" spans="1:16" s="11" customFormat="1" x14ac:dyDescent="0.3">
      <c r="A20" s="8"/>
      <c r="B20" s="639"/>
      <c r="C20" s="826"/>
      <c r="D20" s="826"/>
      <c r="E20" s="826"/>
      <c r="F20" s="826"/>
      <c r="G20" s="826"/>
      <c r="H20" s="826"/>
      <c r="I20" s="826"/>
      <c r="J20" s="826"/>
      <c r="K20" s="826"/>
      <c r="L20" s="641"/>
      <c r="M20" s="38"/>
      <c r="O20" s="152"/>
      <c r="P20" s="152"/>
    </row>
    <row r="21" spans="1:16" s="11" customFormat="1" x14ac:dyDescent="0.3">
      <c r="A21" s="8"/>
      <c r="B21" s="639"/>
      <c r="C21" s="826"/>
      <c r="D21" s="826"/>
      <c r="E21" s="826"/>
      <c r="F21" s="826"/>
      <c r="G21" s="826"/>
      <c r="H21" s="826"/>
      <c r="I21" s="826"/>
      <c r="J21" s="826"/>
      <c r="K21" s="826"/>
      <c r="L21" s="641"/>
      <c r="M21" s="38"/>
      <c r="O21" s="152"/>
      <c r="P21" s="152"/>
    </row>
    <row r="22" spans="1:16" s="11" customFormat="1" x14ac:dyDescent="0.3">
      <c r="A22" s="8"/>
      <c r="B22" s="639"/>
      <c r="C22" s="826"/>
      <c r="D22" s="826"/>
      <c r="E22" s="826"/>
      <c r="F22" s="826"/>
      <c r="G22" s="826"/>
      <c r="H22" s="826"/>
      <c r="I22" s="826"/>
      <c r="J22" s="826"/>
      <c r="K22" s="826"/>
      <c r="L22" s="641"/>
      <c r="M22" s="38"/>
      <c r="O22" s="152"/>
      <c r="P22" s="152"/>
    </row>
    <row r="23" spans="1:16" s="11" customFormat="1" x14ac:dyDescent="0.3">
      <c r="A23" s="8"/>
      <c r="B23" s="639"/>
      <c r="C23" s="826"/>
      <c r="D23" s="826"/>
      <c r="E23" s="826"/>
      <c r="F23" s="826"/>
      <c r="G23" s="826"/>
      <c r="H23" s="826"/>
      <c r="I23" s="826"/>
      <c r="J23" s="826"/>
      <c r="K23" s="826"/>
      <c r="L23" s="641"/>
      <c r="M23" s="38"/>
      <c r="O23" s="152"/>
      <c r="P23" s="152"/>
    </row>
    <row r="24" spans="1:16" s="11" customFormat="1" x14ac:dyDescent="0.3">
      <c r="A24" s="8"/>
      <c r="B24" s="639"/>
      <c r="C24" s="826"/>
      <c r="D24" s="826"/>
      <c r="E24" s="826"/>
      <c r="F24" s="826"/>
      <c r="G24" s="826"/>
      <c r="H24" s="826"/>
      <c r="I24" s="826"/>
      <c r="J24" s="826"/>
      <c r="K24" s="826"/>
      <c r="L24" s="641"/>
      <c r="M24" s="38"/>
      <c r="O24" s="152"/>
      <c r="P24" s="152"/>
    </row>
    <row r="25" spans="1:16" s="11" customFormat="1" x14ac:dyDescent="0.3">
      <c r="A25" s="8"/>
      <c r="B25" s="639"/>
      <c r="C25" s="826"/>
      <c r="D25" s="826"/>
      <c r="E25" s="826"/>
      <c r="F25" s="826"/>
      <c r="G25" s="826"/>
      <c r="H25" s="826"/>
      <c r="I25" s="826"/>
      <c r="J25" s="826"/>
      <c r="K25" s="826"/>
      <c r="L25" s="641"/>
      <c r="M25" s="38"/>
      <c r="O25" s="152"/>
      <c r="P25" s="152"/>
    </row>
    <row r="26" spans="1:16" s="11" customFormat="1" x14ac:dyDescent="0.3">
      <c r="A26" s="8"/>
      <c r="B26" s="639"/>
      <c r="C26" s="826"/>
      <c r="D26" s="826"/>
      <c r="E26" s="826"/>
      <c r="F26" s="826"/>
      <c r="G26" s="826"/>
      <c r="H26" s="826"/>
      <c r="I26" s="826"/>
      <c r="J26" s="826"/>
      <c r="K26" s="826"/>
      <c r="L26" s="641"/>
      <c r="M26" s="38"/>
      <c r="O26" s="152"/>
      <c r="P26" s="152"/>
    </row>
    <row r="27" spans="1:16" s="11" customFormat="1" x14ac:dyDescent="0.3">
      <c r="A27" s="8"/>
      <c r="B27" s="639"/>
      <c r="C27" s="826"/>
      <c r="D27" s="826"/>
      <c r="E27" s="826"/>
      <c r="F27" s="826"/>
      <c r="G27" s="826"/>
      <c r="H27" s="826"/>
      <c r="I27" s="826"/>
      <c r="J27" s="826"/>
      <c r="K27" s="826"/>
      <c r="L27" s="641"/>
      <c r="M27" s="38"/>
      <c r="O27" s="152"/>
      <c r="P27" s="152"/>
    </row>
    <row r="28" spans="1:16" x14ac:dyDescent="0.3">
      <c r="B28" s="74"/>
      <c r="C28" s="40"/>
      <c r="D28" s="40"/>
      <c r="E28" s="40"/>
      <c r="F28" s="40"/>
      <c r="G28" s="40"/>
      <c r="H28" s="40"/>
      <c r="I28" s="40"/>
      <c r="J28" s="40"/>
      <c r="K28" s="40"/>
      <c r="L28" s="58"/>
      <c r="M28" s="10"/>
    </row>
    <row r="29" spans="1:16" x14ac:dyDescent="0.3">
      <c r="B29" s="506" t="str">
        <f>IF(Intro!$G$20="English",O29,P29)</f>
        <v>IMPORTS AND SALES</v>
      </c>
      <c r="C29" s="507"/>
      <c r="D29" s="507"/>
      <c r="E29" s="507"/>
      <c r="F29" s="507"/>
      <c r="G29" s="507"/>
      <c r="H29" s="507"/>
      <c r="I29" s="507"/>
      <c r="J29" s="507"/>
      <c r="K29" s="507"/>
      <c r="L29" s="508"/>
      <c r="M29" s="10"/>
      <c r="O29" s="107" t="s">
        <v>332</v>
      </c>
      <c r="P29" s="107" t="s">
        <v>333</v>
      </c>
    </row>
    <row r="30" spans="1:16" x14ac:dyDescent="0.3">
      <c r="B30" s="74"/>
      <c r="C30" s="75"/>
      <c r="D30" s="75"/>
      <c r="E30" s="75"/>
      <c r="F30" s="75"/>
      <c r="G30" s="75"/>
      <c r="H30" s="75"/>
      <c r="I30" s="75"/>
      <c r="J30" s="75"/>
      <c r="K30" s="75"/>
      <c r="L30" s="58"/>
      <c r="M30" s="10"/>
    </row>
    <row r="31" spans="1:16" x14ac:dyDescent="0.3">
      <c r="B31" s="500" t="str">
        <f>IF(Intro!$G$20="English",O31,P31)</f>
        <v>Note: Public/non-confidential information in this table is automatically generated from the information provided in the "Imp" tabs and "Invent-Stock" tab. Any changes to this public summary must therefore be made in those tabs.</v>
      </c>
      <c r="C31" s="501"/>
      <c r="D31" s="501"/>
      <c r="E31" s="501"/>
      <c r="F31" s="501"/>
      <c r="G31" s="501"/>
      <c r="H31" s="501"/>
      <c r="I31" s="501"/>
      <c r="J31" s="501"/>
      <c r="K31" s="501"/>
      <c r="L31" s="502"/>
      <c r="M31" s="10"/>
      <c r="O31" s="10" t="s">
        <v>362</v>
      </c>
      <c r="P31" s="10" t="s">
        <v>175</v>
      </c>
    </row>
    <row r="32" spans="1:16" x14ac:dyDescent="0.3">
      <c r="B32" s="500"/>
      <c r="C32" s="501"/>
      <c r="D32" s="501"/>
      <c r="E32" s="501"/>
      <c r="F32" s="501"/>
      <c r="G32" s="501"/>
      <c r="H32" s="501"/>
      <c r="I32" s="501"/>
      <c r="J32" s="501"/>
      <c r="K32" s="501"/>
      <c r="L32" s="502"/>
      <c r="M32" s="10"/>
    </row>
    <row r="33" spans="1:15" x14ac:dyDescent="0.3">
      <c r="B33" s="74"/>
      <c r="C33" s="75"/>
      <c r="D33" s="75"/>
      <c r="E33" s="75"/>
      <c r="F33" s="75"/>
      <c r="G33" s="75"/>
      <c r="H33" s="75"/>
      <c r="I33" s="75"/>
      <c r="J33" s="75"/>
      <c r="K33" s="75"/>
      <c r="L33" s="58"/>
      <c r="M33" s="10"/>
    </row>
    <row r="34" spans="1:15" x14ac:dyDescent="0.3">
      <c r="B34" s="816" t="str">
        <f>'Invent-Stock'!B24</f>
        <v>Forged</v>
      </c>
      <c r="C34" s="817"/>
      <c r="D34" s="818"/>
      <c r="E34" s="728">
        <f>Variables!B6</f>
        <v>2023</v>
      </c>
      <c r="F34" s="728">
        <f>E34+1</f>
        <v>2024</v>
      </c>
      <c r="G34" s="728">
        <f>F34+1</f>
        <v>2025</v>
      </c>
      <c r="H34" s="728" t="str">
        <f>IF(Intro!$G$20="English",Variables!B9,Variables!C9)</f>
        <v>Jan-Mar 2025</v>
      </c>
      <c r="I34" s="728" t="str">
        <f>IF(Intro!$G$20="English",Variables!B10,Variables!C10)</f>
        <v>Jan-Mar 2026</v>
      </c>
      <c r="J34" s="89"/>
      <c r="K34" s="89"/>
      <c r="L34" s="71"/>
      <c r="M34" s="10"/>
      <c r="O34" s="18"/>
    </row>
    <row r="35" spans="1:15" x14ac:dyDescent="0.3">
      <c r="B35" s="816"/>
      <c r="C35" s="817"/>
      <c r="D35" s="818"/>
      <c r="E35" s="728"/>
      <c r="F35" s="728"/>
      <c r="G35" s="728"/>
      <c r="H35" s="728"/>
      <c r="I35" s="728"/>
      <c r="J35" s="89"/>
      <c r="K35" s="89"/>
      <c r="L35" s="71"/>
      <c r="M35" s="10"/>
      <c r="O35" s="18"/>
    </row>
    <row r="36" spans="1:15" s="38" customFormat="1" x14ac:dyDescent="0.3">
      <c r="A36" s="49"/>
      <c r="B36" s="86"/>
      <c r="C36" s="87"/>
      <c r="D36" s="143" t="str">
        <f>IF(Intro!$G$20="English","Imports from "&amp;Variables!B47,"Importations de "&amp;Variables!C47)</f>
        <v>Imports from China</v>
      </c>
      <c r="E36" s="145" t="str">
        <f>IF(SUM(B_EXP:E_EXP!G27:G28)&lt;&gt;0,"X","-")</f>
        <v>-</v>
      </c>
      <c r="F36" s="145" t="str">
        <f>IF(SUM(B_EXP:E_EXP!H27:H28)&lt;&gt;0,"X","-")</f>
        <v>-</v>
      </c>
      <c r="G36" s="145" t="str">
        <f>IF(SUM(B_EXP:E_EXP!I27:I28)&lt;&gt;0,"X","-")</f>
        <v>-</v>
      </c>
      <c r="H36" s="145" t="str">
        <f>IF(SUM(B_EXP:E_EXP!J27:J28)&lt;&gt;0,"X","-")</f>
        <v>-</v>
      </c>
      <c r="I36" s="145" t="str">
        <f>IF(SUM(B_EXP:E_EXP!K27:K28)&lt;&gt;0,"X","-")</f>
        <v>-</v>
      </c>
      <c r="J36" s="89"/>
      <c r="K36" s="89"/>
      <c r="L36" s="71"/>
    </row>
    <row r="37" spans="1:15" s="38" customFormat="1" x14ac:dyDescent="0.3">
      <c r="A37" s="49"/>
      <c r="B37" s="86"/>
      <c r="C37" s="87"/>
      <c r="D37" s="143" t="str">
        <f>IF(Intro!$G$20="English","Imports from "&amp;Variables!B48,"Importations de "&amp;Variables!C48)</f>
        <v>Imports from United States of America</v>
      </c>
      <c r="E37" s="145" t="str">
        <f>IF(SUM('Imp-US'!G27:G28)&lt;&gt;0,"X","-")</f>
        <v>-</v>
      </c>
      <c r="F37" s="145" t="str">
        <f>IF(SUM('Imp-US'!H27:H28)&lt;&gt;0,"X","-")</f>
        <v>-</v>
      </c>
      <c r="G37" s="145" t="str">
        <f>IF(SUM('Imp-US'!I27:I28)&lt;&gt;0,"X","-")</f>
        <v>-</v>
      </c>
      <c r="H37" s="145" t="str">
        <f>IF(SUM('Imp-US'!J27:J28)&lt;&gt;0,"X","-")</f>
        <v>-</v>
      </c>
      <c r="I37" s="145" t="str">
        <f>IF(SUM('Imp-US'!K27:K28)&lt;&gt;0,"X","-")</f>
        <v>-</v>
      </c>
      <c r="J37" s="89"/>
      <c r="K37" s="89"/>
      <c r="L37" s="71"/>
    </row>
    <row r="38" spans="1:15" s="38" customFormat="1" x14ac:dyDescent="0.3">
      <c r="A38" s="49"/>
      <c r="B38" s="86"/>
      <c r="C38" s="87"/>
      <c r="D38" s="143" t="str">
        <f>IF(Intro!$G$20="English","Imports from "&amp;Variables!B49,"Importations de "&amp;Variables!C49)</f>
        <v>Imports from Other Countries</v>
      </c>
      <c r="E38" s="145" t="str">
        <f>IF(SUM('Imp-Other-Autre'!G27:G28)&lt;&gt;0,"X","-")</f>
        <v>-</v>
      </c>
      <c r="F38" s="145" t="str">
        <f>IF(SUM('Imp-Other-Autre'!H27:H28)&lt;&gt;0,"X","-")</f>
        <v>-</v>
      </c>
      <c r="G38" s="145" t="str">
        <f>IF(SUM('Imp-Other-Autre'!I27:I28)&lt;&gt;0,"X","-")</f>
        <v>-</v>
      </c>
      <c r="H38" s="145" t="str">
        <f>IF(SUM('Imp-Other-Autre'!J27:J28)&lt;&gt;0,"X","-")</f>
        <v>-</v>
      </c>
      <c r="I38" s="145" t="str">
        <f>IF(SUM('Imp-Other-Autre'!K27:K28)&lt;&gt;0,"X","-")</f>
        <v>-</v>
      </c>
      <c r="J38" s="89"/>
      <c r="K38" s="89"/>
      <c r="L38" s="71"/>
    </row>
    <row r="39" spans="1:15" s="38" customFormat="1" x14ac:dyDescent="0.3">
      <c r="A39" s="49"/>
      <c r="B39" s="111"/>
      <c r="C39" s="112"/>
      <c r="D39" s="144" t="str">
        <f>'Imp-Other-Autre'!B23</f>
        <v xml:space="preserve">Other countries include: </v>
      </c>
      <c r="E39" s="825" t="str">
        <f>IF('Imp-Other-Autre'!D23="","-",'Imp-Other-Autre'!D23)</f>
        <v>-</v>
      </c>
      <c r="F39" s="825"/>
      <c r="G39" s="825"/>
      <c r="H39" s="825"/>
      <c r="I39" s="825"/>
      <c r="J39" s="89"/>
      <c r="K39" s="89"/>
      <c r="L39" s="71"/>
    </row>
    <row r="40" spans="1:15" s="38" customFormat="1" x14ac:dyDescent="0.3">
      <c r="A40" s="49"/>
      <c r="B40" s="111"/>
      <c r="C40" s="112"/>
      <c r="D40" s="144"/>
      <c r="E40" s="825"/>
      <c r="F40" s="825"/>
      <c r="G40" s="825"/>
      <c r="H40" s="825"/>
      <c r="I40" s="825"/>
      <c r="J40" s="89"/>
      <c r="K40" s="89"/>
      <c r="L40" s="71"/>
    </row>
    <row r="41" spans="1:15" s="38" customFormat="1" x14ac:dyDescent="0.3">
      <c r="A41" s="49"/>
      <c r="B41" s="111"/>
      <c r="C41" s="112"/>
      <c r="D41" s="144"/>
      <c r="E41" s="825"/>
      <c r="F41" s="825"/>
      <c r="G41" s="825"/>
      <c r="H41" s="825"/>
      <c r="I41" s="825"/>
      <c r="J41" s="89"/>
      <c r="K41" s="89"/>
      <c r="L41" s="71"/>
    </row>
    <row r="42" spans="1:15" s="38" customFormat="1" x14ac:dyDescent="0.3">
      <c r="A42" s="49"/>
      <c r="B42" s="86"/>
      <c r="C42" s="87"/>
      <c r="D42" s="143" t="str">
        <f>'Imp-Exp1'!B31</f>
        <v>Sales to end users in Canada</v>
      </c>
      <c r="E42" s="145" t="str">
        <f>IF(SUM(Begin:End!G31:G32)&lt;&gt;0,"X","-")</f>
        <v>-</v>
      </c>
      <c r="F42" s="145" t="str">
        <f>IF(SUM(Begin:End!H31:H32)&lt;&gt;0,"X","-")</f>
        <v>-</v>
      </c>
      <c r="G42" s="145" t="str">
        <f>IF(SUM(Begin:End!I31:I32)&lt;&gt;0,"X","-")</f>
        <v>-</v>
      </c>
      <c r="H42" s="145" t="str">
        <f>IF(SUM(Begin:End!J31:J32)&lt;&gt;0,"X","-")</f>
        <v>-</v>
      </c>
      <c r="I42" s="145" t="str">
        <f>IF(SUM(Begin:End!K31:K32)&lt;&gt;0,"X","-")</f>
        <v>-</v>
      </c>
      <c r="J42" s="89"/>
      <c r="K42" s="89"/>
      <c r="L42" s="71"/>
    </row>
    <row r="43" spans="1:15" s="38" customFormat="1" x14ac:dyDescent="0.3">
      <c r="A43" s="49"/>
      <c r="B43" s="86"/>
      <c r="C43" s="87"/>
      <c r="D43" s="143" t="str">
        <f>'Imp-Exp1'!B34</f>
        <v>Sales to other in Canada</v>
      </c>
      <c r="E43" s="145" t="str">
        <f>IF(SUM(Begin:End!G34:G35)&lt;&gt;0,"X","-")</f>
        <v>-</v>
      </c>
      <c r="F43" s="145" t="str">
        <f>IF(SUM(Begin:End!H34:H35)&lt;&gt;0,"X","-")</f>
        <v>-</v>
      </c>
      <c r="G43" s="145" t="str">
        <f>IF(SUM(Begin:End!I34:I35)&lt;&gt;0,"X","-")</f>
        <v>-</v>
      </c>
      <c r="H43" s="145" t="str">
        <f>IF(SUM(Begin:End!J34:J35)&lt;&gt;0,"X","-")</f>
        <v>-</v>
      </c>
      <c r="I43" s="145" t="str">
        <f>IF(SUM(Begin:End!K34:K35)&lt;&gt;0,"X","-")</f>
        <v>-</v>
      </c>
      <c r="J43" s="89"/>
      <c r="K43" s="89"/>
      <c r="L43" s="71"/>
    </row>
    <row r="44" spans="1:15" s="38" customFormat="1" x14ac:dyDescent="0.3">
      <c r="A44" s="49"/>
      <c r="B44" s="86"/>
      <c r="C44" s="87"/>
      <c r="D44" s="143" t="str">
        <f>'Invent-Stock'!B29</f>
        <v>Export sales</v>
      </c>
      <c r="E44" s="145" t="str">
        <f>IF(SUM('Invent-Stock'!G29:G30)&lt;&gt;0,"X","-")</f>
        <v>-</v>
      </c>
      <c r="F44" s="145" t="str">
        <f>IF(SUM('Invent-Stock'!H29:H30)&lt;&gt;0,"X","-")</f>
        <v>-</v>
      </c>
      <c r="G44" s="145" t="str">
        <f>IF(SUM('Invent-Stock'!I29:I30)&lt;&gt;0,"X","-")</f>
        <v>-</v>
      </c>
      <c r="H44" s="145" t="str">
        <f>IF(SUM('Invent-Stock'!J29:J30)&lt;&gt;0,"X","-")</f>
        <v>-</v>
      </c>
      <c r="I44" s="145" t="str">
        <f>IF(SUM('Invent-Stock'!K29:K30)&lt;&gt;0,"X","-")</f>
        <v>-</v>
      </c>
      <c r="J44" s="89"/>
      <c r="K44" s="89"/>
      <c r="L44" s="71"/>
    </row>
    <row r="45" spans="1:15" x14ac:dyDescent="0.3">
      <c r="B45" s="74"/>
      <c r="C45" s="75"/>
      <c r="D45" s="75"/>
      <c r="E45" s="75"/>
      <c r="F45" s="75"/>
      <c r="G45" s="75"/>
      <c r="H45" s="75"/>
      <c r="I45" s="75"/>
      <c r="J45" s="75"/>
      <c r="K45" s="75"/>
      <c r="L45" s="276"/>
      <c r="M45" s="10"/>
    </row>
    <row r="46" spans="1:15" x14ac:dyDescent="0.3">
      <c r="B46" s="816" t="str">
        <f>'Invent-Stock'!B62</f>
        <v>Stamped</v>
      </c>
      <c r="C46" s="817"/>
      <c r="D46" s="818"/>
      <c r="E46" s="728">
        <f t="shared" ref="E46:I46" si="0">E34</f>
        <v>2023</v>
      </c>
      <c r="F46" s="728">
        <f t="shared" si="0"/>
        <v>2024</v>
      </c>
      <c r="G46" s="728">
        <f t="shared" si="0"/>
        <v>2025</v>
      </c>
      <c r="H46" s="728" t="str">
        <f t="shared" si="0"/>
        <v>Jan-Mar 2025</v>
      </c>
      <c r="I46" s="728" t="str">
        <f t="shared" si="0"/>
        <v>Jan-Mar 2026</v>
      </c>
      <c r="J46" s="89"/>
      <c r="K46" s="89"/>
      <c r="L46" s="71"/>
      <c r="M46" s="10"/>
      <c r="O46" s="18"/>
    </row>
    <row r="47" spans="1:15" x14ac:dyDescent="0.3">
      <c r="B47" s="816"/>
      <c r="C47" s="817"/>
      <c r="D47" s="818"/>
      <c r="E47" s="728"/>
      <c r="F47" s="728"/>
      <c r="G47" s="728"/>
      <c r="H47" s="728"/>
      <c r="I47" s="728"/>
      <c r="J47" s="89"/>
      <c r="K47" s="89"/>
      <c r="L47" s="71"/>
      <c r="M47" s="10"/>
      <c r="O47" s="18"/>
    </row>
    <row r="48" spans="1:15" s="38" customFormat="1" x14ac:dyDescent="0.3">
      <c r="A48" s="49"/>
      <c r="B48" s="277"/>
      <c r="C48" s="278"/>
      <c r="D48" s="280" t="str">
        <f t="shared" ref="D48:D56" si="1">D36</f>
        <v>Imports from China</v>
      </c>
      <c r="E48" s="145" t="str">
        <f>IF(SUM(B_EXP:E_EXP!G43:G44)&lt;&gt;0,"X","-")</f>
        <v>-</v>
      </c>
      <c r="F48" s="145" t="str">
        <f>IF(SUM(B_EXP:E_EXP!H43:H44)&lt;&gt;0,"X","-")</f>
        <v>-</v>
      </c>
      <c r="G48" s="145" t="str">
        <f>IF(SUM(B_EXP:E_EXP!I43:I44)&lt;&gt;0,"X","-")</f>
        <v>-</v>
      </c>
      <c r="H48" s="145" t="str">
        <f>IF(SUM(B_EXP:E_EXP!J43:J44)&lt;&gt;0,"X","-")</f>
        <v>-</v>
      </c>
      <c r="I48" s="145" t="str">
        <f>IF(SUM(B_EXP:E_EXP!K43:K44)&lt;&gt;0,"X","-")</f>
        <v>-</v>
      </c>
      <c r="J48" s="89"/>
      <c r="K48" s="89"/>
      <c r="L48" s="71"/>
    </row>
    <row r="49" spans="1:15" s="38" customFormat="1" x14ac:dyDescent="0.3">
      <c r="A49" s="49"/>
      <c r="B49" s="277"/>
      <c r="C49" s="278"/>
      <c r="D49" s="280" t="str">
        <f t="shared" si="1"/>
        <v>Imports from United States of America</v>
      </c>
      <c r="E49" s="145" t="str">
        <f>IF(SUM('Imp-US'!G43:G44)&lt;&gt;0,"X","-")</f>
        <v>-</v>
      </c>
      <c r="F49" s="145" t="str">
        <f>IF(SUM('Imp-US'!H43:H44)&lt;&gt;0,"X","-")</f>
        <v>-</v>
      </c>
      <c r="G49" s="145" t="str">
        <f>IF(SUM('Imp-US'!I43:I44)&lt;&gt;0,"X","-")</f>
        <v>-</v>
      </c>
      <c r="H49" s="145" t="str">
        <f>IF(SUM('Imp-US'!J43:J44)&lt;&gt;0,"X","-")</f>
        <v>-</v>
      </c>
      <c r="I49" s="145" t="str">
        <f>IF(SUM('Imp-US'!K43:K44)&lt;&gt;0,"X","-")</f>
        <v>-</v>
      </c>
      <c r="J49" s="89"/>
      <c r="K49" s="89"/>
      <c r="L49" s="71"/>
    </row>
    <row r="50" spans="1:15" s="38" customFormat="1" x14ac:dyDescent="0.3">
      <c r="A50" s="49"/>
      <c r="B50" s="277"/>
      <c r="C50" s="278"/>
      <c r="D50" s="280" t="str">
        <f t="shared" si="1"/>
        <v>Imports from Other Countries</v>
      </c>
      <c r="E50" s="145" t="str">
        <f>IF(SUM('Imp-Other-Autre'!G43:G44)&lt;&gt;0,"X","-")</f>
        <v>-</v>
      </c>
      <c r="F50" s="145" t="str">
        <f>IF(SUM('Imp-Other-Autre'!H43:H44)&lt;&gt;0,"X","-")</f>
        <v>-</v>
      </c>
      <c r="G50" s="145" t="str">
        <f>IF(SUM('Imp-Other-Autre'!I43:I44)&lt;&gt;0,"X","-")</f>
        <v>-</v>
      </c>
      <c r="H50" s="145" t="str">
        <f>IF(SUM('Imp-Other-Autre'!J43:J44)&lt;&gt;0,"X","-")</f>
        <v>-</v>
      </c>
      <c r="I50" s="145" t="str">
        <f>IF(SUM('Imp-Other-Autre'!K43:K44)&lt;&gt;0,"X","-")</f>
        <v>-</v>
      </c>
      <c r="J50" s="89"/>
      <c r="K50" s="89"/>
      <c r="L50" s="71"/>
    </row>
    <row r="51" spans="1:15" s="38" customFormat="1" x14ac:dyDescent="0.3">
      <c r="A51" s="49"/>
      <c r="B51" s="111"/>
      <c r="C51" s="112"/>
      <c r="D51" s="144" t="str">
        <f t="shared" si="1"/>
        <v xml:space="preserve">Other countries include: </v>
      </c>
      <c r="E51" s="825" t="str">
        <f>E39</f>
        <v>-</v>
      </c>
      <c r="F51" s="825"/>
      <c r="G51" s="825"/>
      <c r="H51" s="825"/>
      <c r="I51" s="825"/>
      <c r="J51" s="89"/>
      <c r="K51" s="89"/>
      <c r="L51" s="71"/>
    </row>
    <row r="52" spans="1:15" s="38" customFormat="1" x14ac:dyDescent="0.3">
      <c r="A52" s="49"/>
      <c r="B52" s="111"/>
      <c r="C52" s="112"/>
      <c r="D52" s="144"/>
      <c r="E52" s="825"/>
      <c r="F52" s="825"/>
      <c r="G52" s="825"/>
      <c r="H52" s="825"/>
      <c r="I52" s="825"/>
      <c r="J52" s="89"/>
      <c r="K52" s="89"/>
      <c r="L52" s="71"/>
    </row>
    <row r="53" spans="1:15" s="38" customFormat="1" x14ac:dyDescent="0.3">
      <c r="A53" s="49"/>
      <c r="B53" s="111"/>
      <c r="C53" s="112"/>
      <c r="D53" s="144"/>
      <c r="E53" s="825"/>
      <c r="F53" s="825"/>
      <c r="G53" s="825"/>
      <c r="H53" s="825"/>
      <c r="I53" s="825"/>
      <c r="J53" s="89"/>
      <c r="K53" s="89"/>
      <c r="L53" s="71"/>
    </row>
    <row r="54" spans="1:15" s="38" customFormat="1" x14ac:dyDescent="0.3">
      <c r="A54" s="49"/>
      <c r="B54" s="277"/>
      <c r="C54" s="278"/>
      <c r="D54" s="280" t="str">
        <f t="shared" si="1"/>
        <v>Sales to end users in Canada</v>
      </c>
      <c r="E54" s="145" t="str">
        <f>IF(SUM(Begin:End!G47:G48)&lt;&gt;0,"X","-")</f>
        <v>-</v>
      </c>
      <c r="F54" s="145" t="str">
        <f>IF(SUM(Begin:End!H47:H48)&lt;&gt;0,"X","-")</f>
        <v>-</v>
      </c>
      <c r="G54" s="145" t="str">
        <f>IF(SUM(Begin:End!I47:I48)&lt;&gt;0,"X","-")</f>
        <v>-</v>
      </c>
      <c r="H54" s="145" t="str">
        <f>IF(SUM(Begin:End!J47:J48)&lt;&gt;0,"X","-")</f>
        <v>-</v>
      </c>
      <c r="I54" s="145" t="str">
        <f>IF(SUM(Begin:End!K47:K48)&lt;&gt;0,"X","-")</f>
        <v>-</v>
      </c>
      <c r="J54" s="89"/>
      <c r="K54" s="89"/>
      <c r="L54" s="71"/>
    </row>
    <row r="55" spans="1:15" s="38" customFormat="1" x14ac:dyDescent="0.3">
      <c r="A55" s="49"/>
      <c r="B55" s="277"/>
      <c r="C55" s="278"/>
      <c r="D55" s="280" t="str">
        <f t="shared" si="1"/>
        <v>Sales to other in Canada</v>
      </c>
      <c r="E55" s="145" t="str">
        <f>IF(SUM(Begin:End!G50:G51)&lt;&gt;0,"X","-")</f>
        <v>-</v>
      </c>
      <c r="F55" s="145" t="str">
        <f>IF(SUM(Begin:End!H50:H51)&lt;&gt;0,"X","-")</f>
        <v>-</v>
      </c>
      <c r="G55" s="145" t="str">
        <f>IF(SUM(Begin:End!I50:I51)&lt;&gt;0,"X","-")</f>
        <v>-</v>
      </c>
      <c r="H55" s="145" t="str">
        <f>IF(SUM(Begin:End!J50:J51)&lt;&gt;0,"X","-")</f>
        <v>-</v>
      </c>
      <c r="I55" s="145" t="str">
        <f>IF(SUM(Begin:End!K50:K51)&lt;&gt;0,"X","-")</f>
        <v>-</v>
      </c>
      <c r="J55" s="89"/>
      <c r="K55" s="89"/>
      <c r="L55" s="71"/>
    </row>
    <row r="56" spans="1:15" s="38" customFormat="1" x14ac:dyDescent="0.3">
      <c r="A56" s="49"/>
      <c r="B56" s="277"/>
      <c r="C56" s="278"/>
      <c r="D56" s="280" t="str">
        <f t="shared" si="1"/>
        <v>Export sales</v>
      </c>
      <c r="E56" s="145" t="str">
        <f>IF(SUM('Invent-Stock'!G70:G71)&lt;&gt;0,"X","-")</f>
        <v>-</v>
      </c>
      <c r="F56" s="145" t="str">
        <f>IF(SUM('Invent-Stock'!H70:H71)&lt;&gt;0,"X","-")</f>
        <v>-</v>
      </c>
      <c r="G56" s="145" t="str">
        <f>IF(SUM('Invent-Stock'!I70:I71)&lt;&gt;0,"X","-")</f>
        <v>-</v>
      </c>
      <c r="H56" s="145" t="str">
        <f>IF(SUM('Invent-Stock'!J70:J71)&lt;&gt;0,"X","-")</f>
        <v>-</v>
      </c>
      <c r="I56" s="145" t="str">
        <f>IF(SUM('Invent-Stock'!K70:K71)&lt;&gt;0,"X","-")</f>
        <v>-</v>
      </c>
      <c r="J56" s="89"/>
      <c r="K56" s="89"/>
      <c r="L56" s="71"/>
    </row>
    <row r="57" spans="1:15" x14ac:dyDescent="0.3">
      <c r="B57" s="74"/>
      <c r="C57" s="75"/>
      <c r="D57" s="75"/>
      <c r="E57" s="75"/>
      <c r="F57" s="75"/>
      <c r="G57" s="75"/>
      <c r="H57" s="75"/>
      <c r="I57" s="75"/>
      <c r="J57" s="75"/>
      <c r="K57" s="75"/>
      <c r="L57" s="276"/>
      <c r="M57" s="10"/>
    </row>
    <row r="58" spans="1:15" x14ac:dyDescent="0.3">
      <c r="B58" s="816" t="str">
        <f>'Invent-Stock'!B100</f>
        <v>Unfinished (Green Balls)</v>
      </c>
      <c r="C58" s="817"/>
      <c r="D58" s="818"/>
      <c r="E58" s="728">
        <f t="shared" ref="E58:I58" si="2">E34</f>
        <v>2023</v>
      </c>
      <c r="F58" s="728">
        <f t="shared" si="2"/>
        <v>2024</v>
      </c>
      <c r="G58" s="728">
        <f t="shared" si="2"/>
        <v>2025</v>
      </c>
      <c r="H58" s="728" t="str">
        <f t="shared" si="2"/>
        <v>Jan-Mar 2025</v>
      </c>
      <c r="I58" s="728" t="str">
        <f t="shared" si="2"/>
        <v>Jan-Mar 2026</v>
      </c>
      <c r="J58" s="89"/>
      <c r="K58" s="89"/>
      <c r="L58" s="71"/>
      <c r="M58" s="10"/>
      <c r="O58" s="18"/>
    </row>
    <row r="59" spans="1:15" x14ac:dyDescent="0.3">
      <c r="B59" s="816"/>
      <c r="C59" s="817"/>
      <c r="D59" s="818"/>
      <c r="E59" s="728"/>
      <c r="F59" s="728"/>
      <c r="G59" s="728"/>
      <c r="H59" s="728"/>
      <c r="I59" s="728"/>
      <c r="J59" s="89"/>
      <c r="K59" s="89"/>
      <c r="L59" s="71"/>
      <c r="M59" s="10"/>
      <c r="O59" s="18"/>
    </row>
    <row r="60" spans="1:15" s="38" customFormat="1" x14ac:dyDescent="0.3">
      <c r="A60" s="49"/>
      <c r="B60" s="277"/>
      <c r="C60" s="278"/>
      <c r="D60" s="280" t="str">
        <f t="shared" ref="D60:D68" si="3">D48</f>
        <v>Imports from China</v>
      </c>
      <c r="E60" s="145" t="str">
        <f>IF(SUM(B_EXP:E_EXP!G59:G60)&lt;&gt;0,"X","-")</f>
        <v>-</v>
      </c>
      <c r="F60" s="145" t="str">
        <f>IF(SUM(B_EXP:E_EXP!H59:H60)&lt;&gt;0,"X","-")</f>
        <v>-</v>
      </c>
      <c r="G60" s="145" t="str">
        <f>IF(SUM(B_EXP:E_EXP!I59:I60)&lt;&gt;0,"X","-")</f>
        <v>-</v>
      </c>
      <c r="H60" s="145" t="str">
        <f>IF(SUM(B_EXP:E_EXP!J59:J60)&lt;&gt;0,"X","-")</f>
        <v>-</v>
      </c>
      <c r="I60" s="145" t="str">
        <f>IF(SUM(B_EXP:E_EXP!K59:K60)&lt;&gt;0,"X","-")</f>
        <v>-</v>
      </c>
      <c r="J60" s="89"/>
      <c r="K60" s="89"/>
      <c r="L60" s="71"/>
    </row>
    <row r="61" spans="1:15" s="38" customFormat="1" x14ac:dyDescent="0.3">
      <c r="A61" s="49"/>
      <c r="B61" s="277"/>
      <c r="C61" s="278"/>
      <c r="D61" s="280" t="str">
        <f t="shared" si="3"/>
        <v>Imports from United States of America</v>
      </c>
      <c r="E61" s="145" t="str">
        <f>IF(SUM('Imp-US'!G59:G60)&lt;&gt;0,"X","-")</f>
        <v>-</v>
      </c>
      <c r="F61" s="145" t="str">
        <f>IF(SUM('Imp-US'!H59:H60)&lt;&gt;0,"X","-")</f>
        <v>-</v>
      </c>
      <c r="G61" s="145" t="str">
        <f>IF(SUM('Imp-US'!I59:I60)&lt;&gt;0,"X","-")</f>
        <v>-</v>
      </c>
      <c r="H61" s="145" t="str">
        <f>IF(SUM('Imp-US'!J59:J60)&lt;&gt;0,"X","-")</f>
        <v>-</v>
      </c>
      <c r="I61" s="145" t="str">
        <f>IF(SUM('Imp-US'!K59:K60)&lt;&gt;0,"X","-")</f>
        <v>-</v>
      </c>
      <c r="J61" s="89"/>
      <c r="K61" s="89"/>
      <c r="L61" s="71"/>
    </row>
    <row r="62" spans="1:15" s="38" customFormat="1" x14ac:dyDescent="0.3">
      <c r="A62" s="49"/>
      <c r="B62" s="277"/>
      <c r="C62" s="278"/>
      <c r="D62" s="280" t="str">
        <f t="shared" si="3"/>
        <v>Imports from Other Countries</v>
      </c>
      <c r="E62" s="145" t="str">
        <f>IF(SUM('Imp-Other-Autre'!G59:G60)&lt;&gt;0,"X","-")</f>
        <v>-</v>
      </c>
      <c r="F62" s="145" t="str">
        <f>IF(SUM('Imp-Other-Autre'!H59:H60)&lt;&gt;0,"X","-")</f>
        <v>-</v>
      </c>
      <c r="G62" s="145" t="str">
        <f>IF(SUM('Imp-Other-Autre'!I59:I60)&lt;&gt;0,"X","-")</f>
        <v>-</v>
      </c>
      <c r="H62" s="145" t="str">
        <f>IF(SUM('Imp-Other-Autre'!J59:J60)&lt;&gt;0,"X","-")</f>
        <v>-</v>
      </c>
      <c r="I62" s="145" t="str">
        <f>IF(SUM('Imp-Other-Autre'!K59:K60)&lt;&gt;0,"X","-")</f>
        <v>-</v>
      </c>
      <c r="J62" s="89"/>
      <c r="K62" s="89"/>
      <c r="L62" s="71"/>
    </row>
    <row r="63" spans="1:15" s="38" customFormat="1" x14ac:dyDescent="0.3">
      <c r="A63" s="49"/>
      <c r="B63" s="111"/>
      <c r="C63" s="112"/>
      <c r="D63" s="144" t="str">
        <f t="shared" si="3"/>
        <v xml:space="preserve">Other countries include: </v>
      </c>
      <c r="E63" s="825" t="str">
        <f>E39</f>
        <v>-</v>
      </c>
      <c r="F63" s="825"/>
      <c r="G63" s="825"/>
      <c r="H63" s="825"/>
      <c r="I63" s="825"/>
      <c r="J63" s="89"/>
      <c r="K63" s="89"/>
      <c r="L63" s="71"/>
    </row>
    <row r="64" spans="1:15" s="38" customFormat="1" x14ac:dyDescent="0.3">
      <c r="A64" s="49"/>
      <c r="B64" s="111"/>
      <c r="C64" s="112"/>
      <c r="D64" s="144"/>
      <c r="E64" s="825"/>
      <c r="F64" s="825"/>
      <c r="G64" s="825"/>
      <c r="H64" s="825"/>
      <c r="I64" s="825"/>
      <c r="J64" s="89"/>
      <c r="K64" s="89"/>
      <c r="L64" s="71"/>
    </row>
    <row r="65" spans="1:13" s="38" customFormat="1" x14ac:dyDescent="0.3">
      <c r="A65" s="49"/>
      <c r="B65" s="111"/>
      <c r="C65" s="112"/>
      <c r="D65" s="144"/>
      <c r="E65" s="825"/>
      <c r="F65" s="825"/>
      <c r="G65" s="825"/>
      <c r="H65" s="825"/>
      <c r="I65" s="825"/>
      <c r="J65" s="89"/>
      <c r="K65" s="89"/>
      <c r="L65" s="71"/>
    </row>
    <row r="66" spans="1:13" s="38" customFormat="1" x14ac:dyDescent="0.3">
      <c r="A66" s="49"/>
      <c r="B66" s="277"/>
      <c r="C66" s="278"/>
      <c r="D66" s="280" t="str">
        <f t="shared" si="3"/>
        <v>Sales to end users in Canada</v>
      </c>
      <c r="E66" s="145" t="str">
        <f>IF(SUM(Begin:End!G63:G64)&lt;&gt;0,"X","-")</f>
        <v>-</v>
      </c>
      <c r="F66" s="145" t="str">
        <f>IF(SUM(Begin:End!H63:H64)&lt;&gt;0,"X","-")</f>
        <v>-</v>
      </c>
      <c r="G66" s="145" t="str">
        <f>IF(SUM(Begin:End!I63:I64)&lt;&gt;0,"X","-")</f>
        <v>-</v>
      </c>
      <c r="H66" s="145" t="str">
        <f>IF(SUM(Begin:End!J63:J64)&lt;&gt;0,"X","-")</f>
        <v>-</v>
      </c>
      <c r="I66" s="145" t="str">
        <f>IF(SUM(Begin:End!K63:K64)&lt;&gt;0,"X","-")</f>
        <v>-</v>
      </c>
      <c r="J66" s="89"/>
      <c r="K66" s="89"/>
      <c r="L66" s="71"/>
    </row>
    <row r="67" spans="1:13" s="38" customFormat="1" x14ac:dyDescent="0.3">
      <c r="A67" s="49"/>
      <c r="B67" s="277"/>
      <c r="C67" s="278"/>
      <c r="D67" s="280" t="str">
        <f t="shared" si="3"/>
        <v>Sales to other in Canada</v>
      </c>
      <c r="E67" s="145" t="str">
        <f>IF(SUM(Begin:End!G66:G67)&lt;&gt;0,"X","-")</f>
        <v>-</v>
      </c>
      <c r="F67" s="145" t="str">
        <f>IF(SUM(Begin:End!H66:H67)&lt;&gt;0,"X","-")</f>
        <v>-</v>
      </c>
      <c r="G67" s="145" t="str">
        <f>IF(SUM(Begin:End!I66:I67)&lt;&gt;0,"X","-")</f>
        <v>-</v>
      </c>
      <c r="H67" s="145" t="str">
        <f>IF(SUM(Begin:End!J66:J67)&lt;&gt;0,"X","-")</f>
        <v>-</v>
      </c>
      <c r="I67" s="145" t="str">
        <f>IF(SUM(Begin:End!K66:K67)&lt;&gt;0,"X","-")</f>
        <v>-</v>
      </c>
      <c r="J67" s="89"/>
      <c r="K67" s="89"/>
      <c r="L67" s="71"/>
    </row>
    <row r="68" spans="1:13" s="38" customFormat="1" x14ac:dyDescent="0.3">
      <c r="A68" s="49"/>
      <c r="B68" s="277"/>
      <c r="C68" s="278"/>
      <c r="D68" s="280" t="str">
        <f t="shared" si="3"/>
        <v>Export sales</v>
      </c>
      <c r="E68" s="145" t="str">
        <f>IF(SUM('Invent-Stock'!G105:G106)&lt;&gt;0,"X","-")</f>
        <v>-</v>
      </c>
      <c r="F68" s="145" t="str">
        <f>IF(SUM('Invent-Stock'!H105:H106)&lt;&gt;0,"X","-")</f>
        <v>-</v>
      </c>
      <c r="G68" s="145" t="str">
        <f>IF(SUM('Invent-Stock'!I105:I106)&lt;&gt;0,"X","-")</f>
        <v>-</v>
      </c>
      <c r="H68" s="145" t="str">
        <f>IF(SUM('Invent-Stock'!J105:J106)&lt;&gt;0,"X","-")</f>
        <v>-</v>
      </c>
      <c r="I68" s="145" t="str">
        <f>IF(SUM('Invent-Stock'!K105:K106)&lt;&gt;0,"X","-")</f>
        <v>-</v>
      </c>
      <c r="J68" s="89"/>
      <c r="K68" s="89"/>
      <c r="L68" s="71"/>
    </row>
    <row r="69" spans="1:13" x14ac:dyDescent="0.3">
      <c r="B69" s="72"/>
      <c r="C69" s="84"/>
      <c r="D69" s="84"/>
      <c r="E69" s="69"/>
      <c r="F69" s="69"/>
      <c r="G69" s="69"/>
      <c r="H69" s="69"/>
      <c r="I69" s="69"/>
      <c r="J69" s="69"/>
      <c r="K69" s="69"/>
      <c r="L69" s="70"/>
      <c r="M69" s="10"/>
    </row>
  </sheetData>
  <sheetProtection algorithmName="SHA-512" hashValue="sPupVNh5Bld0qNONWBqVDwEYqPwkwv6ibl91qyOSg0mCYvCNReY3WjCnhVYzobJ4HLGOnWkaX1/Y87KarE/Cbg==" saltValue="NBv0Q5g650D8a2cmJdq4Fg==" spinCount="100000" sheet="1" objects="1" scenarios="1" selectLockedCells="1"/>
  <mergeCells count="35">
    <mergeCell ref="B4:L4"/>
    <mergeCell ref="B5:L5"/>
    <mergeCell ref="B6:L6"/>
    <mergeCell ref="B29:L29"/>
    <mergeCell ref="B8:L8"/>
    <mergeCell ref="B9:L9"/>
    <mergeCell ref="B12:I12"/>
    <mergeCell ref="B13:I13"/>
    <mergeCell ref="B31:L32"/>
    <mergeCell ref="B14:I14"/>
    <mergeCell ref="B15:I15"/>
    <mergeCell ref="B16:I16"/>
    <mergeCell ref="E34:E35"/>
    <mergeCell ref="F34:F35"/>
    <mergeCell ref="G34:G35"/>
    <mergeCell ref="H34:H35"/>
    <mergeCell ref="I34:I35"/>
    <mergeCell ref="B18:L18"/>
    <mergeCell ref="B20:L27"/>
    <mergeCell ref="E63:I65"/>
    <mergeCell ref="B34:D35"/>
    <mergeCell ref="B46:D47"/>
    <mergeCell ref="B58:D59"/>
    <mergeCell ref="E51:I53"/>
    <mergeCell ref="E58:E59"/>
    <mergeCell ref="F58:F59"/>
    <mergeCell ref="G58:G59"/>
    <mergeCell ref="H58:H59"/>
    <mergeCell ref="I58:I59"/>
    <mergeCell ref="E46:E47"/>
    <mergeCell ref="F46:F47"/>
    <mergeCell ref="G46:G47"/>
    <mergeCell ref="H46:H47"/>
    <mergeCell ref="I46:I47"/>
    <mergeCell ref="E39:I41"/>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22"/>
  <sheetViews>
    <sheetView showGridLines="0" tabSelected="1" topLeftCell="A8" zoomScaleNormal="100" workbookViewId="0">
      <selection activeCell="G27" sqref="G27"/>
    </sheetView>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42.5546875" style="10" hidden="1" customWidth="1"/>
    <col min="16" max="16" width="38.5546875" style="10" hidden="1" customWidth="1"/>
    <col min="17" max="20" width="8.5546875" style="10" customWidth="1"/>
    <col min="21" max="22" width="10.44140625" style="10" customWidth="1"/>
    <col min="23" max="23" width="9.44140625" style="10" customWidth="1"/>
    <col min="24" max="16384" width="9.44140625" style="10"/>
  </cols>
  <sheetData>
    <row r="1" spans="1:19" x14ac:dyDescent="0.3">
      <c r="O1" s="10" t="s">
        <v>481</v>
      </c>
      <c r="P1" s="10" t="s">
        <v>481</v>
      </c>
    </row>
    <row r="2" spans="1:19" x14ac:dyDescent="0.3">
      <c r="B2" s="12" t="s">
        <v>66</v>
      </c>
      <c r="C2" s="12"/>
      <c r="O2" s="11" t="s">
        <v>93</v>
      </c>
      <c r="P2" s="11" t="s">
        <v>109</v>
      </c>
    </row>
    <row r="3" spans="1:19" x14ac:dyDescent="0.3">
      <c r="B3" s="13"/>
      <c r="C3" s="13"/>
      <c r="O3" s="41"/>
      <c r="P3" s="41"/>
    </row>
    <row r="4" spans="1:19" s="2" customFormat="1" x14ac:dyDescent="0.3">
      <c r="A4" s="4"/>
      <c r="B4" s="545" t="s">
        <v>299</v>
      </c>
      <c r="C4" s="546"/>
      <c r="D4" s="546"/>
      <c r="E4" s="546"/>
      <c r="F4" s="546"/>
      <c r="G4" s="546"/>
      <c r="H4" s="546"/>
      <c r="I4" s="546"/>
      <c r="J4" s="546"/>
      <c r="K4" s="546"/>
      <c r="L4" s="547"/>
      <c r="M4" s="25"/>
      <c r="N4" s="25"/>
      <c r="O4" s="9"/>
      <c r="P4" s="9"/>
      <c r="Q4" s="41"/>
      <c r="R4" s="41"/>
      <c r="S4" s="41"/>
    </row>
    <row r="5" spans="1:19" s="2" customFormat="1" x14ac:dyDescent="0.3">
      <c r="A5" s="4"/>
      <c r="B5" s="548" t="str">
        <f>Variables!B2</f>
        <v>NQ-2026-002</v>
      </c>
      <c r="C5" s="549"/>
      <c r="D5" s="549"/>
      <c r="E5" s="549"/>
      <c r="F5" s="549"/>
      <c r="G5" s="549"/>
      <c r="H5" s="549"/>
      <c r="I5" s="549"/>
      <c r="J5" s="549"/>
      <c r="K5" s="549"/>
      <c r="L5" s="550"/>
      <c r="M5" s="25"/>
      <c r="N5" s="25"/>
      <c r="O5" s="9"/>
      <c r="P5" s="9"/>
      <c r="Q5" s="41"/>
      <c r="R5" s="41"/>
      <c r="S5" s="41"/>
    </row>
    <row r="6" spans="1:19" s="6" customFormat="1" x14ac:dyDescent="0.3">
      <c r="A6" s="4"/>
      <c r="B6" s="551" t="str">
        <f>UPPER(Variables!B3&amp;" | "&amp;Variables!C3)</f>
        <v>FORGED GRINDING MEDIA | CORPS DE BROYAGE FORGÉS</v>
      </c>
      <c r="C6" s="552"/>
      <c r="D6" s="552"/>
      <c r="E6" s="552"/>
      <c r="F6" s="552"/>
      <c r="G6" s="552"/>
      <c r="H6" s="552"/>
      <c r="I6" s="552"/>
      <c r="J6" s="552"/>
      <c r="K6" s="552"/>
      <c r="L6" s="553"/>
      <c r="M6" s="19"/>
      <c r="N6" s="19"/>
      <c r="O6" s="27"/>
      <c r="P6" s="27"/>
      <c r="Q6" s="10"/>
      <c r="R6" s="10"/>
      <c r="S6" s="10"/>
    </row>
    <row r="7" spans="1:19" s="6" customFormat="1" x14ac:dyDescent="0.3">
      <c r="A7" s="4"/>
      <c r="B7" s="14"/>
      <c r="C7" s="14"/>
      <c r="D7" s="3"/>
      <c r="E7" s="3"/>
      <c r="F7" s="3"/>
      <c r="G7" s="3"/>
      <c r="H7" s="3"/>
      <c r="I7" s="3"/>
      <c r="J7" s="3"/>
      <c r="K7" s="3"/>
      <c r="L7" s="3"/>
      <c r="O7" s="27"/>
      <c r="P7" s="27"/>
      <c r="Q7" s="10"/>
      <c r="R7" s="10"/>
      <c r="S7" s="10"/>
    </row>
    <row r="8" spans="1:19" s="2" customFormat="1" x14ac:dyDescent="0.3">
      <c r="A8" s="4"/>
      <c r="B8" s="509" t="s">
        <v>300</v>
      </c>
      <c r="C8" s="510"/>
      <c r="D8" s="510"/>
      <c r="E8" s="510"/>
      <c r="F8" s="510"/>
      <c r="G8" s="510"/>
      <c r="H8" s="510"/>
      <c r="I8" s="510"/>
      <c r="J8" s="510"/>
      <c r="K8" s="510"/>
      <c r="L8" s="511"/>
      <c r="M8" s="25"/>
      <c r="N8" s="25"/>
      <c r="O8" s="9"/>
      <c r="P8" s="9"/>
      <c r="Q8" s="41"/>
      <c r="R8" s="41"/>
      <c r="S8" s="41"/>
    </row>
    <row r="9" spans="1:19" ht="14.1" customHeight="1" x14ac:dyDescent="0.3">
      <c r="B9" s="16"/>
      <c r="C9" s="35"/>
      <c r="D9" s="36"/>
      <c r="E9" s="36"/>
      <c r="F9" s="36"/>
      <c r="G9" s="36"/>
      <c r="H9" s="36"/>
      <c r="I9" s="36"/>
      <c r="J9" s="36"/>
      <c r="K9" s="36"/>
      <c r="L9" s="17"/>
      <c r="M9" s="10"/>
      <c r="O9" s="497" t="s">
        <v>451</v>
      </c>
      <c r="P9" s="497"/>
    </row>
    <row r="10" spans="1:19" x14ac:dyDescent="0.3">
      <c r="B10" s="503"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forged grinding media (as defined below) originating in or exported from China. Your firm's knowledge and experience would aid the Tribunal in the proper conduct of its inquiry by helping it better understand the Canadian market for forged grinding media. The Tribunal therefore requests a response to this questionnaire from your firm.</v>
      </c>
      <c r="C10" s="504"/>
      <c r="D10" s="504"/>
      <c r="E10" s="504"/>
      <c r="F10" s="504"/>
      <c r="G10" s="66"/>
      <c r="H10" s="554" t="str">
        <f>"Le Tribunal canadien du commerce extérieur (le Tribunal) a ouvert une enquête concernant "&amp;Variables!C4&amp;" de "&amp;Variables!C3&amp;" (telles que définies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corps de broyage forgés (telles que définies ci-dessous) originaires ou exporté de la Chine. Les connaissances et l'expérience de votre entreprise aideraient le Tribunal à mener correctement son enquête en lui permettant de mieux comprendre le marché canadien de corps de broyage forgés. Le Tribunal demande donc à votre entreprise de répondre à ce questionnaire.</v>
      </c>
      <c r="I10" s="554"/>
      <c r="J10" s="554"/>
      <c r="K10" s="554"/>
      <c r="L10" s="555"/>
      <c r="M10" s="10"/>
      <c r="O10" s="497"/>
      <c r="P10" s="497"/>
    </row>
    <row r="11" spans="1:19" x14ac:dyDescent="0.3">
      <c r="B11" s="503"/>
      <c r="C11" s="504"/>
      <c r="D11" s="504"/>
      <c r="E11" s="504"/>
      <c r="F11" s="504"/>
      <c r="G11" s="119"/>
      <c r="H11" s="554"/>
      <c r="I11" s="554"/>
      <c r="J11" s="554"/>
      <c r="K11" s="554"/>
      <c r="L11" s="555"/>
      <c r="M11" s="10"/>
      <c r="O11" s="497"/>
      <c r="P11" s="497"/>
    </row>
    <row r="12" spans="1:19" x14ac:dyDescent="0.3">
      <c r="B12" s="503"/>
      <c r="C12" s="504"/>
      <c r="D12" s="504"/>
      <c r="E12" s="504"/>
      <c r="F12" s="504"/>
      <c r="G12" s="119"/>
      <c r="H12" s="554"/>
      <c r="I12" s="554"/>
      <c r="J12" s="554"/>
      <c r="K12" s="554"/>
      <c r="L12" s="555"/>
      <c r="M12" s="10"/>
      <c r="O12" s="497"/>
      <c r="P12" s="497"/>
    </row>
    <row r="13" spans="1:19" x14ac:dyDescent="0.3">
      <c r="B13" s="503"/>
      <c r="C13" s="504"/>
      <c r="D13" s="504"/>
      <c r="E13" s="504"/>
      <c r="F13" s="504"/>
      <c r="G13" s="119"/>
      <c r="H13" s="554"/>
      <c r="I13" s="554"/>
      <c r="J13" s="554"/>
      <c r="K13" s="554"/>
      <c r="L13" s="555"/>
      <c r="M13" s="10"/>
      <c r="O13" s="497"/>
      <c r="P13" s="497"/>
    </row>
    <row r="14" spans="1:19" x14ac:dyDescent="0.3">
      <c r="B14" s="503"/>
      <c r="C14" s="504"/>
      <c r="D14" s="504"/>
      <c r="E14" s="504"/>
      <c r="F14" s="504"/>
      <c r="G14" s="119"/>
      <c r="H14" s="554"/>
      <c r="I14" s="554"/>
      <c r="J14" s="554"/>
      <c r="K14" s="554"/>
      <c r="L14" s="555"/>
      <c r="M14" s="10"/>
      <c r="O14" s="497"/>
      <c r="P14" s="497"/>
    </row>
    <row r="15" spans="1:19" x14ac:dyDescent="0.3">
      <c r="B15" s="503"/>
      <c r="C15" s="504"/>
      <c r="D15" s="504"/>
      <c r="E15" s="504"/>
      <c r="F15" s="504"/>
      <c r="G15" s="119"/>
      <c r="H15" s="554"/>
      <c r="I15" s="554"/>
      <c r="J15" s="554"/>
      <c r="K15" s="554"/>
      <c r="L15" s="555"/>
      <c r="M15" s="10"/>
      <c r="O15" s="497"/>
      <c r="P15" s="497"/>
    </row>
    <row r="16" spans="1:19" x14ac:dyDescent="0.3">
      <c r="B16" s="72"/>
      <c r="C16" s="69"/>
      <c r="D16" s="69"/>
      <c r="E16" s="69"/>
      <c r="F16" s="69"/>
      <c r="G16" s="69"/>
      <c r="H16" s="69"/>
      <c r="I16" s="69"/>
      <c r="J16" s="69"/>
      <c r="K16" s="69"/>
      <c r="L16" s="70"/>
      <c r="M16" s="10"/>
      <c r="O16" s="497"/>
      <c r="P16" s="497"/>
    </row>
    <row r="17" spans="1:19" s="6" customFormat="1" x14ac:dyDescent="0.3">
      <c r="A17" s="4"/>
      <c r="B17" s="14"/>
      <c r="C17" s="14"/>
      <c r="D17" s="3"/>
      <c r="E17" s="3"/>
      <c r="F17" s="3"/>
      <c r="G17" s="3"/>
      <c r="H17" s="3"/>
      <c r="I17" s="3"/>
      <c r="J17" s="3"/>
      <c r="K17" s="3"/>
      <c r="L17" s="3"/>
      <c r="O17" s="27"/>
      <c r="P17" s="27"/>
      <c r="Q17" s="10"/>
      <c r="R17" s="10"/>
      <c r="S17" s="10"/>
    </row>
    <row r="18" spans="1:19" s="2" customFormat="1" x14ac:dyDescent="0.3">
      <c r="A18" s="4"/>
      <c r="B18" s="509" t="s">
        <v>301</v>
      </c>
      <c r="C18" s="510"/>
      <c r="D18" s="510"/>
      <c r="E18" s="510"/>
      <c r="F18" s="510"/>
      <c r="G18" s="510"/>
      <c r="H18" s="510"/>
      <c r="I18" s="510"/>
      <c r="J18" s="510"/>
      <c r="K18" s="510"/>
      <c r="L18" s="511"/>
      <c r="M18" s="25"/>
      <c r="N18" s="25"/>
      <c r="O18" s="9"/>
      <c r="P18" s="9"/>
      <c r="Q18" s="41"/>
      <c r="R18" s="41"/>
      <c r="S18" s="41"/>
    </row>
    <row r="19" spans="1:19" x14ac:dyDescent="0.3">
      <c r="B19" s="16"/>
      <c r="C19" s="35"/>
      <c r="D19" s="36"/>
      <c r="E19" s="36"/>
      <c r="F19" s="36"/>
      <c r="G19" s="36"/>
      <c r="H19" s="36"/>
      <c r="I19" s="36"/>
      <c r="J19" s="36"/>
      <c r="K19" s="36"/>
      <c r="L19" s="17"/>
      <c r="M19" s="10"/>
    </row>
    <row r="20" spans="1:19" x14ac:dyDescent="0.3">
      <c r="B20" s="584" t="s">
        <v>110</v>
      </c>
      <c r="C20" s="585"/>
      <c r="D20" s="585"/>
      <c r="E20" s="585"/>
      <c r="F20" s="585"/>
      <c r="G20" s="498" t="s">
        <v>93</v>
      </c>
      <c r="H20" s="586" t="s">
        <v>204</v>
      </c>
      <c r="I20" s="586"/>
      <c r="J20" s="586"/>
      <c r="K20" s="586"/>
      <c r="L20" s="587"/>
      <c r="M20" s="10"/>
      <c r="O20" s="18"/>
    </row>
    <row r="21" spans="1:19" x14ac:dyDescent="0.3">
      <c r="B21" s="584"/>
      <c r="C21" s="585"/>
      <c r="D21" s="585"/>
      <c r="E21" s="585"/>
      <c r="F21" s="585"/>
      <c r="G21" s="499"/>
      <c r="H21" s="586"/>
      <c r="I21" s="586"/>
      <c r="J21" s="586"/>
      <c r="K21" s="586"/>
      <c r="L21" s="587"/>
      <c r="M21" s="10"/>
      <c r="O21" s="18"/>
    </row>
    <row r="22" spans="1:19" x14ac:dyDescent="0.3">
      <c r="B22" s="72"/>
      <c r="C22" s="69"/>
      <c r="D22" s="69"/>
      <c r="E22" s="69"/>
      <c r="F22" s="69"/>
      <c r="G22" s="69"/>
      <c r="H22" s="69"/>
      <c r="I22" s="69"/>
      <c r="J22" s="69"/>
      <c r="K22" s="69"/>
      <c r="L22" s="70"/>
      <c r="M22" s="10"/>
    </row>
    <row r="23" spans="1:19" s="6" customFormat="1" x14ac:dyDescent="0.3">
      <c r="A23" s="4"/>
      <c r="B23" s="14"/>
      <c r="C23" s="14"/>
      <c r="D23" s="3"/>
      <c r="E23" s="3"/>
      <c r="F23" s="3"/>
      <c r="G23" s="3"/>
      <c r="H23" s="3"/>
      <c r="I23" s="3"/>
      <c r="J23" s="3"/>
      <c r="K23" s="3"/>
      <c r="L23" s="3"/>
      <c r="O23" s="27"/>
      <c r="P23" s="27"/>
      <c r="Q23" s="10"/>
      <c r="R23" s="10"/>
      <c r="S23" s="10"/>
    </row>
    <row r="24" spans="1:19" s="2" customFormat="1" x14ac:dyDescent="0.3">
      <c r="A24" s="4"/>
      <c r="B24" s="509" t="str">
        <f>IF(Intro!$G$20="English",O24,P24)</f>
        <v>DEFINITION OF "THE GOODS"</v>
      </c>
      <c r="C24" s="510" t="str">
        <f>UPPER(IF(Intro!$G$20="English",P24,Q24))</f>
        <v>LA DÉFINITION "DES MARCHANDISES"</v>
      </c>
      <c r="D24" s="510" t="str">
        <f>UPPER(IF(Intro!$G$20="English",Q24,R24))</f>
        <v/>
      </c>
      <c r="E24" s="510" t="str">
        <f>UPPER(IF(Intro!$G$20="English",R24,S24))</f>
        <v/>
      </c>
      <c r="F24" s="510" t="str">
        <f>UPPER(IF(Intro!$G$20="English",S24,T24))</f>
        <v/>
      </c>
      <c r="G24" s="510"/>
      <c r="H24" s="510" t="str">
        <f>UPPER(IF(Intro!$G$20="English",T24,U24))</f>
        <v/>
      </c>
      <c r="I24" s="510" t="str">
        <f>UPPER(IF(Intro!$G$20="English",U24,V24))</f>
        <v/>
      </c>
      <c r="J24" s="510" t="str">
        <f>UPPER(IF(Intro!$G$20="English",V24,W24))</f>
        <v/>
      </c>
      <c r="K24" s="510" t="str">
        <f>UPPER(IF(Intro!$G$20="English",W24,X24))</f>
        <v/>
      </c>
      <c r="L24" s="511" t="str">
        <f>UPPER(IF(Intro!$G$20="English",X24,Y24))</f>
        <v/>
      </c>
      <c r="M24" s="6"/>
      <c r="N24" s="25"/>
      <c r="O24" s="19" t="s">
        <v>302</v>
      </c>
      <c r="P24" s="19" t="s">
        <v>303</v>
      </c>
      <c r="Q24" s="41"/>
      <c r="R24" s="41"/>
      <c r="S24" s="41"/>
    </row>
    <row r="25" spans="1:19" x14ac:dyDescent="0.3">
      <c r="B25" s="16"/>
      <c r="C25" s="35"/>
      <c r="D25" s="36"/>
      <c r="E25" s="36"/>
      <c r="F25" s="36"/>
      <c r="G25" s="36"/>
      <c r="H25" s="36"/>
      <c r="I25" s="36"/>
      <c r="J25" s="36"/>
      <c r="K25" s="36"/>
      <c r="L25" s="17"/>
      <c r="M25" s="10"/>
    </row>
    <row r="26" spans="1:19" x14ac:dyDescent="0.3">
      <c r="B26" s="503" t="str">
        <f>IF(Intro!$G$20="English",O26,P26)</f>
        <v>References to "the goods" in this questionnaire refer to:</v>
      </c>
      <c r="C26" s="504"/>
      <c r="D26" s="504"/>
      <c r="E26" s="504"/>
      <c r="F26" s="504"/>
      <c r="G26" s="504"/>
      <c r="H26" s="504"/>
      <c r="I26" s="504"/>
      <c r="J26" s="504"/>
      <c r="K26" s="504"/>
      <c r="L26" s="505"/>
      <c r="M26" s="10"/>
      <c r="O26" s="10" t="s">
        <v>155</v>
      </c>
      <c r="P26" s="10" t="s">
        <v>156</v>
      </c>
    </row>
    <row r="27" spans="1:19" x14ac:dyDescent="0.3">
      <c r="B27" s="61"/>
      <c r="C27" s="62"/>
      <c r="D27" s="62"/>
      <c r="E27" s="62"/>
      <c r="F27" s="62"/>
      <c r="G27" s="62"/>
      <c r="H27" s="62"/>
      <c r="I27" s="62"/>
      <c r="J27" s="62"/>
      <c r="K27" s="62"/>
      <c r="L27" s="63"/>
      <c r="M27" s="10"/>
    </row>
    <row r="28" spans="1:19" x14ac:dyDescent="0.3">
      <c r="B28" s="74"/>
      <c r="C28" s="512" t="str">
        <f>IF(Intro!$G$20="English",Variables!B16,Variables!C16)</f>
        <v>Forged or stamped forged grinding media in spherical or ovoid shape ("ball"), with a nominal diameter between 25 millimeters (1 inch) up to and including 160 millimeters (6.25 inches), produced through the forging or stamping method.</v>
      </c>
      <c r="D28" s="513"/>
      <c r="E28" s="513"/>
      <c r="F28" s="513"/>
      <c r="G28" s="513"/>
      <c r="H28" s="513"/>
      <c r="I28" s="513"/>
      <c r="J28" s="513"/>
      <c r="K28" s="514"/>
      <c r="L28" s="67"/>
      <c r="M28" s="10"/>
    </row>
    <row r="29" spans="1:19" x14ac:dyDescent="0.3">
      <c r="B29" s="74"/>
      <c r="C29" s="515"/>
      <c r="D29" s="516"/>
      <c r="E29" s="516"/>
      <c r="F29" s="516"/>
      <c r="G29" s="516"/>
      <c r="H29" s="516"/>
      <c r="I29" s="516"/>
      <c r="J29" s="516"/>
      <c r="K29" s="517"/>
      <c r="L29" s="120"/>
      <c r="M29" s="10"/>
    </row>
    <row r="30" spans="1:19" x14ac:dyDescent="0.3">
      <c r="B30" s="74"/>
      <c r="C30" s="515"/>
      <c r="D30" s="516"/>
      <c r="E30" s="516"/>
      <c r="F30" s="516"/>
      <c r="G30" s="516"/>
      <c r="H30" s="516"/>
      <c r="I30" s="516"/>
      <c r="J30" s="516"/>
      <c r="K30" s="517"/>
      <c r="L30" s="120"/>
      <c r="M30" s="10"/>
    </row>
    <row r="31" spans="1:19" x14ac:dyDescent="0.3">
      <c r="B31" s="74"/>
      <c r="C31" s="518"/>
      <c r="D31" s="519"/>
      <c r="E31" s="519"/>
      <c r="F31" s="519"/>
      <c r="G31" s="519"/>
      <c r="H31" s="519"/>
      <c r="I31" s="519"/>
      <c r="J31" s="519"/>
      <c r="K31" s="520"/>
      <c r="L31" s="120"/>
      <c r="M31" s="10"/>
    </row>
    <row r="32" spans="1:19" x14ac:dyDescent="0.3">
      <c r="B32" s="61"/>
      <c r="C32" s="62"/>
      <c r="D32" s="62"/>
      <c r="E32" s="62"/>
      <c r="F32" s="62"/>
      <c r="G32" s="62"/>
      <c r="H32" s="62"/>
      <c r="I32" s="62"/>
      <c r="J32" s="62"/>
      <c r="K32" s="62"/>
      <c r="L32" s="63"/>
      <c r="M32" s="10"/>
    </row>
    <row r="33" spans="1:19" x14ac:dyDescent="0.3">
      <c r="B33" s="503" t="str">
        <f>IF(Intro!$G$20="English",O33,P33)</f>
        <v>For additional details, view the Info tab.</v>
      </c>
      <c r="C33" s="504"/>
      <c r="D33" s="504"/>
      <c r="E33" s="504"/>
      <c r="F33" s="504"/>
      <c r="G33" s="504"/>
      <c r="H33" s="504"/>
      <c r="I33" s="504"/>
      <c r="J33" s="504"/>
      <c r="K33" s="504"/>
      <c r="L33" s="505"/>
      <c r="M33" s="10"/>
      <c r="O33" s="10" t="s">
        <v>153</v>
      </c>
      <c r="P33" s="10" t="s">
        <v>154</v>
      </c>
    </row>
    <row r="34" spans="1:19" x14ac:dyDescent="0.3">
      <c r="B34" s="72"/>
      <c r="C34" s="69"/>
      <c r="D34" s="69"/>
      <c r="E34" s="69"/>
      <c r="F34" s="69"/>
      <c r="G34" s="69"/>
      <c r="H34" s="69"/>
      <c r="I34" s="69"/>
      <c r="J34" s="69"/>
      <c r="K34" s="69"/>
      <c r="L34" s="70"/>
      <c r="M34" s="10"/>
    </row>
    <row r="35" spans="1:19" s="6" customFormat="1" x14ac:dyDescent="0.3">
      <c r="A35" s="4"/>
      <c r="B35" s="14"/>
      <c r="C35" s="14"/>
      <c r="D35" s="3"/>
      <c r="E35" s="3"/>
      <c r="F35" s="3"/>
      <c r="G35" s="3"/>
      <c r="H35" s="3"/>
      <c r="I35" s="3"/>
      <c r="J35" s="3"/>
      <c r="K35" s="3"/>
      <c r="L35" s="3"/>
      <c r="Q35" s="10"/>
      <c r="R35" s="10"/>
      <c r="S35" s="10"/>
    </row>
    <row r="36" spans="1:19" s="2" customFormat="1" x14ac:dyDescent="0.3">
      <c r="A36" s="4"/>
      <c r="B36" s="506" t="str">
        <f>IF(Intro!$G$20="English",O36,P36)</f>
        <v>DO YOU NEED TO COMPLETE THIS QUESTIONNAIRE?</v>
      </c>
      <c r="C36" s="507"/>
      <c r="D36" s="507"/>
      <c r="E36" s="507"/>
      <c r="F36" s="507"/>
      <c r="G36" s="507"/>
      <c r="H36" s="507"/>
      <c r="I36" s="507"/>
      <c r="J36" s="507"/>
      <c r="K36" s="507"/>
      <c r="L36" s="508"/>
      <c r="M36" s="25"/>
      <c r="N36" s="25"/>
      <c r="O36" s="9" t="s">
        <v>304</v>
      </c>
      <c r="P36" s="9" t="s">
        <v>423</v>
      </c>
      <c r="Q36" s="41"/>
      <c r="R36" s="41"/>
      <c r="S36" s="41"/>
    </row>
    <row r="37" spans="1:19" x14ac:dyDescent="0.3">
      <c r="B37" s="16"/>
      <c r="C37" s="35"/>
      <c r="D37" s="36"/>
      <c r="E37" s="36"/>
      <c r="F37" s="36"/>
      <c r="G37" s="36"/>
      <c r="H37" s="36"/>
      <c r="I37" s="36"/>
      <c r="J37" s="36"/>
      <c r="K37" s="36"/>
      <c r="L37" s="17"/>
      <c r="M37" s="10"/>
    </row>
    <row r="38" spans="1:19" x14ac:dyDescent="0.3">
      <c r="B38" s="500" t="str">
        <f>IF(Intro!$G$20="English",O38,P38)</f>
        <v>Has your firm imported the goods as the importer of record from any country since January 1, 2023?</v>
      </c>
      <c r="C38" s="501"/>
      <c r="D38" s="501"/>
      <c r="E38" s="501"/>
      <c r="F38" s="501"/>
      <c r="G38" s="501"/>
      <c r="H38" s="501"/>
      <c r="I38" s="501"/>
      <c r="J38" s="501"/>
      <c r="K38" s="501"/>
      <c r="L38" s="502"/>
      <c r="M38" s="10"/>
      <c r="O38" s="18" t="str">
        <f>"Has your firm imported the goods as the importer of record from any country since January 1, "&amp;Variables!B6&amp;"?"</f>
        <v>Has your firm imported the goods as the importer of record from any country since January 1, 2023?</v>
      </c>
      <c r="P38" s="10"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39" spans="1:19" x14ac:dyDescent="0.3">
      <c r="B39" s="74"/>
      <c r="C39" s="75"/>
      <c r="D39" s="10"/>
      <c r="E39" s="10"/>
      <c r="F39" s="10"/>
      <c r="G39" s="124"/>
      <c r="H39" s="124"/>
      <c r="I39" s="124"/>
      <c r="J39" s="124"/>
      <c r="K39" s="124"/>
      <c r="L39" s="125"/>
      <c r="M39" s="10"/>
      <c r="O39" s="10" t="s">
        <v>176</v>
      </c>
      <c r="P39" s="10" t="s">
        <v>431</v>
      </c>
    </row>
    <row r="40" spans="1:19" x14ac:dyDescent="0.3">
      <c r="B40" s="523" t="str">
        <f>IF(Intro!$G$20="English",O39,P39)</f>
        <v>Select Yes or No</v>
      </c>
      <c r="C40" s="524"/>
      <c r="D40" s="521"/>
      <c r="E40" s="525" t="str">
        <f>IF(D40="Yes",O40,IF(D40="Oui",P40,IF(D40="No",O41,IF(D40="Non",P41,""))))</f>
        <v/>
      </c>
      <c r="F40" s="526"/>
      <c r="G40" s="526"/>
      <c r="H40" s="526"/>
      <c r="I40" s="526"/>
      <c r="J40" s="526"/>
      <c r="K40" s="527"/>
      <c r="L40" s="125"/>
      <c r="M40" s="10"/>
      <c r="O40" s="10" t="str">
        <f>"Complete all tabs in this questionnaire and submit it by "&amp;Variables!B11&amp;"."</f>
        <v>Complete all tabs in this questionnaire and submit it by June 16, 2026.</v>
      </c>
      <c r="P40" s="10" t="str">
        <f>"Remplissez tous les onglets de ce questionnaire et soumettez-le avant le "&amp;Variables!C11&amp;"."</f>
        <v>Remplissez tous les onglets de ce questionnaire et soumettez-le avant le 16 juin 2026.</v>
      </c>
    </row>
    <row r="41" spans="1:19" x14ac:dyDescent="0.3">
      <c r="B41" s="523"/>
      <c r="C41" s="524"/>
      <c r="D41" s="522"/>
      <c r="E41" s="528"/>
      <c r="F41" s="529"/>
      <c r="G41" s="529"/>
      <c r="H41" s="529"/>
      <c r="I41" s="529"/>
      <c r="J41" s="529"/>
      <c r="K41" s="530"/>
      <c r="L41" s="125"/>
      <c r="M41" s="10"/>
      <c r="O41" s="10" t="str">
        <f>"Provide explanation below. Complete this tab only and submit it by "&amp;Variables!B11&amp;"."</f>
        <v>Provide explanation below. Complete this tab only and submit it by June 16, 2026.</v>
      </c>
      <c r="P41" s="10" t="str">
        <f>"Expliquez ci-dessous. Remplissez cet onglet uniquement et soumettez-le avant le "&amp;Variables!C11&amp;"."</f>
        <v>Expliquez ci-dessous. Remplissez cet onglet uniquement et soumettez-le avant le 16 juin 2026.</v>
      </c>
    </row>
    <row r="42" spans="1:19" x14ac:dyDescent="0.3">
      <c r="B42" s="16"/>
      <c r="C42" s="35"/>
      <c r="D42" s="36"/>
      <c r="E42" s="36"/>
      <c r="F42" s="36"/>
      <c r="G42" s="36"/>
      <c r="H42" s="36"/>
      <c r="I42" s="36"/>
      <c r="J42" s="36"/>
      <c r="K42" s="36"/>
      <c r="L42" s="17"/>
      <c r="M42" s="10"/>
    </row>
    <row r="43" spans="1:19" ht="14.1" customHeight="1" x14ac:dyDescent="0.3">
      <c r="B43" s="500" t="str">
        <f>IF(Intro!$G$20="English",O43,P43)</f>
        <v>If no, explain why CBSA import data indicates that you imported using the HS numbers listed on the Info tab during this period.</v>
      </c>
      <c r="C43" s="501"/>
      <c r="D43" s="501"/>
      <c r="E43" s="501"/>
      <c r="F43" s="501"/>
      <c r="G43" s="501"/>
      <c r="H43" s="501"/>
      <c r="I43" s="501"/>
      <c r="J43" s="501"/>
      <c r="K43" s="501"/>
      <c r="L43" s="502"/>
      <c r="M43" s="10"/>
      <c r="O43" s="10" t="s">
        <v>528</v>
      </c>
      <c r="P43" s="10" t="s">
        <v>529</v>
      </c>
    </row>
    <row r="44" spans="1:19" x14ac:dyDescent="0.3">
      <c r="B44" s="16"/>
      <c r="C44" s="35"/>
      <c r="D44" s="36"/>
      <c r="E44" s="36"/>
      <c r="F44" s="36"/>
      <c r="G44" s="36"/>
      <c r="H44" s="36"/>
      <c r="I44" s="36"/>
      <c r="J44" s="36"/>
      <c r="K44" s="36"/>
      <c r="L44" s="17"/>
      <c r="M44" s="10"/>
    </row>
    <row r="45" spans="1:19" x14ac:dyDescent="0.3">
      <c r="B45" s="531"/>
      <c r="C45" s="532"/>
      <c r="D45" s="532"/>
      <c r="E45" s="532"/>
      <c r="F45" s="532"/>
      <c r="G45" s="532"/>
      <c r="H45" s="532"/>
      <c r="I45" s="532"/>
      <c r="J45" s="532"/>
      <c r="K45" s="532"/>
      <c r="L45" s="533"/>
      <c r="M45" s="10"/>
    </row>
    <row r="46" spans="1:19" x14ac:dyDescent="0.3">
      <c r="B46" s="531"/>
      <c r="C46" s="532"/>
      <c r="D46" s="532"/>
      <c r="E46" s="532"/>
      <c r="F46" s="532"/>
      <c r="G46" s="532"/>
      <c r="H46" s="532"/>
      <c r="I46" s="532"/>
      <c r="J46" s="532"/>
      <c r="K46" s="532"/>
      <c r="L46" s="533"/>
      <c r="M46" s="10"/>
    </row>
    <row r="47" spans="1:19" x14ac:dyDescent="0.3">
      <c r="B47" s="531"/>
      <c r="C47" s="532"/>
      <c r="D47" s="532"/>
      <c r="E47" s="532"/>
      <c r="F47" s="532"/>
      <c r="G47" s="532"/>
      <c r="H47" s="532"/>
      <c r="I47" s="532"/>
      <c r="J47" s="532"/>
      <c r="K47" s="532"/>
      <c r="L47" s="533"/>
      <c r="M47" s="10"/>
    </row>
    <row r="48" spans="1:19" x14ac:dyDescent="0.3">
      <c r="B48" s="531"/>
      <c r="C48" s="532"/>
      <c r="D48" s="532"/>
      <c r="E48" s="532"/>
      <c r="F48" s="532"/>
      <c r="G48" s="532"/>
      <c r="H48" s="532"/>
      <c r="I48" s="532"/>
      <c r="J48" s="532"/>
      <c r="K48" s="532"/>
      <c r="L48" s="533"/>
      <c r="M48" s="10"/>
    </row>
    <row r="49" spans="1:19" x14ac:dyDescent="0.3">
      <c r="B49" s="531"/>
      <c r="C49" s="532"/>
      <c r="D49" s="532"/>
      <c r="E49" s="532"/>
      <c r="F49" s="532"/>
      <c r="G49" s="532"/>
      <c r="H49" s="532"/>
      <c r="I49" s="532"/>
      <c r="J49" s="532"/>
      <c r="K49" s="532"/>
      <c r="L49" s="533"/>
      <c r="M49" s="10"/>
    </row>
    <row r="50" spans="1:19" x14ac:dyDescent="0.3">
      <c r="B50" s="531"/>
      <c r="C50" s="532"/>
      <c r="D50" s="532"/>
      <c r="E50" s="532"/>
      <c r="F50" s="532"/>
      <c r="G50" s="532"/>
      <c r="H50" s="532"/>
      <c r="I50" s="532"/>
      <c r="J50" s="532"/>
      <c r="K50" s="532"/>
      <c r="L50" s="533"/>
      <c r="M50" s="10"/>
    </row>
    <row r="51" spans="1:19" x14ac:dyDescent="0.3">
      <c r="B51" s="531"/>
      <c r="C51" s="532"/>
      <c r="D51" s="532"/>
      <c r="E51" s="532"/>
      <c r="F51" s="532"/>
      <c r="G51" s="532"/>
      <c r="H51" s="532"/>
      <c r="I51" s="532"/>
      <c r="J51" s="532"/>
      <c r="K51" s="532"/>
      <c r="L51" s="533"/>
      <c r="M51" s="10"/>
    </row>
    <row r="52" spans="1:19" x14ac:dyDescent="0.3">
      <c r="B52" s="531"/>
      <c r="C52" s="532"/>
      <c r="D52" s="532"/>
      <c r="E52" s="532"/>
      <c r="F52" s="532"/>
      <c r="G52" s="532"/>
      <c r="H52" s="532"/>
      <c r="I52" s="532"/>
      <c r="J52" s="532"/>
      <c r="K52" s="532"/>
      <c r="L52" s="533"/>
      <c r="M52" s="10"/>
    </row>
    <row r="53" spans="1:19" x14ac:dyDescent="0.3">
      <c r="B53" s="72"/>
      <c r="C53" s="69"/>
      <c r="D53" s="69"/>
      <c r="E53" s="69"/>
      <c r="F53" s="69"/>
      <c r="G53" s="69"/>
      <c r="H53" s="69"/>
      <c r="I53" s="69"/>
      <c r="J53" s="69"/>
      <c r="K53" s="69"/>
      <c r="L53" s="70"/>
      <c r="M53" s="10"/>
    </row>
    <row r="54" spans="1:19" s="6" customFormat="1" x14ac:dyDescent="0.3">
      <c r="A54" s="4"/>
      <c r="B54" s="14"/>
      <c r="C54" s="14"/>
      <c r="D54" s="3"/>
      <c r="E54" s="3"/>
      <c r="F54" s="3"/>
      <c r="G54" s="3"/>
      <c r="H54" s="3"/>
      <c r="I54" s="3"/>
      <c r="J54" s="3"/>
      <c r="K54" s="3"/>
      <c r="L54" s="3"/>
      <c r="O54" s="27"/>
      <c r="P54" s="27"/>
      <c r="Q54" s="10"/>
      <c r="R54" s="10"/>
      <c r="S54" s="10"/>
    </row>
    <row r="55" spans="1:19" s="2" customFormat="1" x14ac:dyDescent="0.3">
      <c r="A55" s="4"/>
      <c r="B55" s="509" t="str">
        <f>UPPER(IF(Intro!$G$20="English",O55,P55))</f>
        <v>QUESTIONNAIRE DUE DATE</v>
      </c>
      <c r="C55" s="510" t="str">
        <f>UPPER(IF(Intro!$G$20="English",P55,Q55))</f>
        <v>DATE D'ÉCHÉANCE DU QUESTIONNAIRE</v>
      </c>
      <c r="D55" s="510" t="str">
        <f>UPPER(IF(Intro!$G$20="English",Q55,R55))</f>
        <v/>
      </c>
      <c r="E55" s="510" t="str">
        <f>UPPER(IF(Intro!$G$20="English",R55,S55))</f>
        <v/>
      </c>
      <c r="F55" s="510" t="str">
        <f>UPPER(IF(Intro!$G$20="English",S55,T55))</f>
        <v/>
      </c>
      <c r="G55" s="510"/>
      <c r="H55" s="510" t="str">
        <f>UPPER(IF(Intro!$G$20="English",T55,U55))</f>
        <v/>
      </c>
      <c r="I55" s="510" t="str">
        <f>UPPER(IF(Intro!$G$20="English",U55,V55))</f>
        <v/>
      </c>
      <c r="J55" s="510" t="str">
        <f>UPPER(IF(Intro!$G$20="English",V55,W55))</f>
        <v/>
      </c>
      <c r="K55" s="510" t="str">
        <f>UPPER(IF(Intro!$G$20="English",W55,X55))</f>
        <v/>
      </c>
      <c r="L55" s="511" t="str">
        <f>UPPER(IF(Intro!$G$20="English",X55,Y55))</f>
        <v/>
      </c>
      <c r="M55" s="6"/>
      <c r="N55" s="25"/>
      <c r="O55" s="9" t="s">
        <v>58</v>
      </c>
      <c r="P55" s="9" t="s">
        <v>59</v>
      </c>
      <c r="Q55" s="41"/>
      <c r="R55" s="41"/>
      <c r="S55" s="41"/>
    </row>
    <row r="56" spans="1:19" x14ac:dyDescent="0.3">
      <c r="B56" s="16"/>
      <c r="C56" s="35"/>
      <c r="D56" s="36"/>
      <c r="E56" s="36"/>
      <c r="F56" s="36"/>
      <c r="G56" s="36"/>
      <c r="H56" s="36"/>
      <c r="I56" s="36"/>
      <c r="J56" s="36"/>
      <c r="K56" s="36"/>
      <c r="L56" s="17"/>
      <c r="M56" s="10"/>
    </row>
    <row r="57" spans="1:19" x14ac:dyDescent="0.3">
      <c r="B57" s="74"/>
      <c r="C57" s="10"/>
      <c r="D57" s="534" t="str">
        <f>IF(Intro!$G$20="English",O57,P57)</f>
        <v>June 16, 2026</v>
      </c>
      <c r="E57" s="535"/>
      <c r="F57" s="535"/>
      <c r="G57" s="535"/>
      <c r="H57" s="535"/>
      <c r="I57" s="535"/>
      <c r="J57" s="536"/>
      <c r="K57" s="45"/>
      <c r="L57" s="96"/>
      <c r="M57" s="10"/>
      <c r="O57" s="39" t="str">
        <f>Variables!B11</f>
        <v>June 16, 2026</v>
      </c>
      <c r="P57" s="39" t="str">
        <f>Variables!C11</f>
        <v>16 juin 2026</v>
      </c>
    </row>
    <row r="58" spans="1:19" x14ac:dyDescent="0.3">
      <c r="B58" s="74"/>
      <c r="C58" s="10"/>
      <c r="D58" s="537"/>
      <c r="E58" s="538"/>
      <c r="F58" s="538"/>
      <c r="G58" s="538"/>
      <c r="H58" s="538"/>
      <c r="I58" s="538"/>
      <c r="J58" s="539"/>
      <c r="K58" s="45"/>
      <c r="L58" s="96"/>
      <c r="M58" s="10"/>
      <c r="O58" s="39"/>
      <c r="P58" s="39"/>
    </row>
    <row r="59" spans="1:19" x14ac:dyDescent="0.3">
      <c r="B59" s="72"/>
      <c r="C59" s="69"/>
      <c r="D59" s="69"/>
      <c r="E59" s="69"/>
      <c r="F59" s="69"/>
      <c r="G59" s="69"/>
      <c r="H59" s="69"/>
      <c r="I59" s="69"/>
      <c r="J59" s="69"/>
      <c r="K59" s="69"/>
      <c r="L59" s="70"/>
      <c r="M59" s="10"/>
    </row>
    <row r="60" spans="1:19" s="6" customFormat="1" x14ac:dyDescent="0.3">
      <c r="A60" s="4"/>
      <c r="B60" s="14"/>
      <c r="C60" s="14"/>
      <c r="D60" s="3"/>
      <c r="E60" s="3"/>
      <c r="F60" s="3"/>
      <c r="G60" s="3"/>
      <c r="H60" s="3"/>
      <c r="I60" s="3"/>
      <c r="J60" s="3"/>
      <c r="K60" s="3"/>
      <c r="L60" s="3"/>
      <c r="O60" s="27"/>
      <c r="P60" s="27"/>
      <c r="Q60" s="10"/>
      <c r="R60" s="10"/>
      <c r="S60" s="10"/>
    </row>
    <row r="61" spans="1:19" s="2" customFormat="1" x14ac:dyDescent="0.3">
      <c r="A61" s="4"/>
      <c r="B61" s="509" t="str">
        <f>IF(Intro!$G$20="English",O61,P61)</f>
        <v>FAILURE TO COMPLETE QUESTIONNAIRE</v>
      </c>
      <c r="C61" s="510" t="str">
        <f>UPPER(IF(Intro!$G$20="English",P61,Q61))</f>
        <v>QUESTIONNAIRE NON REMPLI</v>
      </c>
      <c r="D61" s="510" t="str">
        <f>UPPER(IF(Intro!$G$20="English",Q61,R61))</f>
        <v/>
      </c>
      <c r="E61" s="510" t="str">
        <f>UPPER(IF(Intro!$G$20="English",R61,S61))</f>
        <v/>
      </c>
      <c r="F61" s="510" t="str">
        <f>UPPER(IF(Intro!$G$20="English",S61,T61))</f>
        <v/>
      </c>
      <c r="G61" s="510"/>
      <c r="H61" s="510" t="str">
        <f>UPPER(IF(Intro!$G$20="English",T61,U61))</f>
        <v/>
      </c>
      <c r="I61" s="510" t="str">
        <f>UPPER(IF(Intro!$G$20="English",U61,V61))</f>
        <v/>
      </c>
      <c r="J61" s="510" t="str">
        <f>UPPER(IF(Intro!$G$20="English",V61,W61))</f>
        <v/>
      </c>
      <c r="K61" s="510" t="str">
        <f>UPPER(IF(Intro!$G$20="English",W61,X61))</f>
        <v/>
      </c>
      <c r="L61" s="511" t="str">
        <f>UPPER(IF(Intro!$G$20="English",X61,Y61))</f>
        <v/>
      </c>
      <c r="M61" s="6"/>
      <c r="N61" s="25"/>
      <c r="O61" s="19" t="s">
        <v>305</v>
      </c>
      <c r="P61" s="19" t="s">
        <v>306</v>
      </c>
      <c r="Q61" s="41"/>
      <c r="R61" s="41"/>
      <c r="S61" s="41"/>
    </row>
    <row r="62" spans="1:19" x14ac:dyDescent="0.3">
      <c r="B62" s="16"/>
      <c r="C62" s="35"/>
      <c r="D62" s="36"/>
      <c r="E62" s="36"/>
      <c r="F62" s="36"/>
      <c r="G62" s="36"/>
      <c r="H62" s="36"/>
      <c r="I62" s="36"/>
      <c r="J62" s="36"/>
      <c r="K62" s="36"/>
      <c r="L62" s="17"/>
      <c r="M62" s="10"/>
    </row>
    <row r="63" spans="1:19" x14ac:dyDescent="0.3">
      <c r="B63" s="503" t="str">
        <f>IF(Intro!$G$20="English",O63,P63)</f>
        <v>Failure to complete the questionnaire by the due date may result in the Tribunal issuing a production order, pursuant to section 17 of the Canadian International Trade Tribunal Act, to compel the production of a questionnaire response.</v>
      </c>
      <c r="C63" s="504"/>
      <c r="D63" s="504"/>
      <c r="E63" s="504"/>
      <c r="F63" s="504"/>
      <c r="G63" s="504"/>
      <c r="H63" s="504"/>
      <c r="I63" s="504"/>
      <c r="J63" s="504"/>
      <c r="K63" s="504"/>
      <c r="L63" s="505"/>
      <c r="M63" s="10"/>
      <c r="O63" s="10" t="s">
        <v>111</v>
      </c>
      <c r="P63" s="10" t="s">
        <v>247</v>
      </c>
    </row>
    <row r="64" spans="1:19" x14ac:dyDescent="0.3">
      <c r="B64" s="503"/>
      <c r="C64" s="504"/>
      <c r="D64" s="504"/>
      <c r="E64" s="504"/>
      <c r="F64" s="504"/>
      <c r="G64" s="504"/>
      <c r="H64" s="504"/>
      <c r="I64" s="504"/>
      <c r="J64" s="504"/>
      <c r="K64" s="504"/>
      <c r="L64" s="505"/>
      <c r="M64" s="10"/>
    </row>
    <row r="65" spans="1:19" x14ac:dyDescent="0.3">
      <c r="B65" s="72"/>
      <c r="C65" s="69"/>
      <c r="D65" s="69"/>
      <c r="E65" s="69"/>
      <c r="F65" s="69"/>
      <c r="G65" s="69"/>
      <c r="H65" s="69"/>
      <c r="I65" s="69"/>
      <c r="J65" s="69"/>
      <c r="K65" s="69"/>
      <c r="L65" s="70"/>
      <c r="M65" s="10"/>
    </row>
    <row r="66" spans="1:19" s="6" customFormat="1" x14ac:dyDescent="0.3">
      <c r="A66" s="4"/>
      <c r="B66" s="14"/>
      <c r="C66" s="14"/>
      <c r="D66" s="3"/>
      <c r="E66" s="3"/>
      <c r="F66" s="3"/>
      <c r="G66" s="3"/>
      <c r="H66" s="3"/>
      <c r="I66" s="3"/>
      <c r="J66" s="3"/>
      <c r="K66" s="3"/>
      <c r="L66" s="3"/>
      <c r="O66" s="27"/>
      <c r="P66" s="27"/>
      <c r="Q66" s="10"/>
      <c r="R66" s="10"/>
      <c r="S66" s="10"/>
    </row>
    <row r="67" spans="1:19" x14ac:dyDescent="0.3">
      <c r="B67" s="588" t="str">
        <f>IF(Intro!$G$20="English",O67,P67)</f>
        <v>FIRM INFORMATION</v>
      </c>
      <c r="C67" s="589"/>
      <c r="D67" s="589"/>
      <c r="E67" s="589"/>
      <c r="F67" s="589"/>
      <c r="G67" s="589"/>
      <c r="H67" s="589"/>
      <c r="I67" s="589"/>
      <c r="J67" s="589"/>
      <c r="K67" s="589"/>
      <c r="L67" s="590"/>
      <c r="M67" s="10"/>
      <c r="O67" s="10" t="s">
        <v>27</v>
      </c>
      <c r="P67" s="10" t="s">
        <v>28</v>
      </c>
    </row>
    <row r="68" spans="1:19" x14ac:dyDescent="0.3">
      <c r="B68" s="16"/>
      <c r="C68" s="35"/>
      <c r="D68" s="36"/>
      <c r="E68" s="36"/>
      <c r="F68" s="36"/>
      <c r="G68" s="36"/>
      <c r="H68" s="36"/>
      <c r="I68" s="36"/>
      <c r="J68" s="36"/>
      <c r="K68" s="36"/>
      <c r="L68" s="17"/>
      <c r="M68" s="10"/>
    </row>
    <row r="69" spans="1:19" x14ac:dyDescent="0.3">
      <c r="B69" s="540" t="str">
        <f>IF(Intro!$G$20="English",O69,P69)</f>
        <v>Firm Name (In English and French, if applicable)</v>
      </c>
      <c r="C69" s="541"/>
      <c r="D69" s="541"/>
      <c r="E69" s="562"/>
      <c r="F69" s="562"/>
      <c r="G69" s="562"/>
      <c r="H69" s="562"/>
      <c r="I69" s="562"/>
      <c r="J69" s="562"/>
      <c r="K69" s="562"/>
      <c r="L69" s="563"/>
      <c r="M69" s="10"/>
      <c r="O69" s="18" t="s">
        <v>241</v>
      </c>
      <c r="P69" s="10" t="s">
        <v>203</v>
      </c>
    </row>
    <row r="70" spans="1:19" x14ac:dyDescent="0.3">
      <c r="B70" s="540"/>
      <c r="C70" s="541"/>
      <c r="D70" s="541"/>
      <c r="E70" s="564"/>
      <c r="F70" s="564"/>
      <c r="G70" s="564"/>
      <c r="H70" s="564"/>
      <c r="I70" s="564"/>
      <c r="J70" s="564"/>
      <c r="K70" s="564"/>
      <c r="L70" s="565"/>
      <c r="M70" s="10"/>
      <c r="O70" s="18"/>
    </row>
    <row r="71" spans="1:19" x14ac:dyDescent="0.3">
      <c r="B71" s="540" t="str">
        <f>IF(Intro!$G$20="English",O71,P71)</f>
        <v>Firm Address</v>
      </c>
      <c r="C71" s="542"/>
      <c r="D71" s="542"/>
      <c r="E71" s="562"/>
      <c r="F71" s="562"/>
      <c r="G71" s="562"/>
      <c r="H71" s="562"/>
      <c r="I71" s="562"/>
      <c r="J71" s="562"/>
      <c r="K71" s="562"/>
      <c r="L71" s="563"/>
      <c r="M71" s="10"/>
      <c r="O71" s="18" t="s">
        <v>2</v>
      </c>
      <c r="P71" s="10" t="s">
        <v>3</v>
      </c>
    </row>
    <row r="72" spans="1:19" x14ac:dyDescent="0.3">
      <c r="B72" s="543"/>
      <c r="C72" s="544"/>
      <c r="D72" s="544"/>
      <c r="E72" s="564"/>
      <c r="F72" s="564"/>
      <c r="G72" s="564"/>
      <c r="H72" s="564"/>
      <c r="I72" s="564"/>
      <c r="J72" s="564"/>
      <c r="K72" s="564"/>
      <c r="L72" s="565"/>
      <c r="M72" s="10"/>
      <c r="O72" s="18"/>
    </row>
    <row r="73" spans="1:19" x14ac:dyDescent="0.3">
      <c r="B73" s="540" t="str">
        <f>IF(Intro!$G$20="English",O73,P73)</f>
        <v>Website Address</v>
      </c>
      <c r="C73" s="542"/>
      <c r="D73" s="542"/>
      <c r="E73" s="562"/>
      <c r="F73" s="562"/>
      <c r="G73" s="562"/>
      <c r="H73" s="562"/>
      <c r="I73" s="562"/>
      <c r="J73" s="562"/>
      <c r="K73" s="562"/>
      <c r="L73" s="563"/>
      <c r="M73" s="10"/>
      <c r="O73" s="18" t="s">
        <v>32</v>
      </c>
      <c r="P73" s="10" t="s">
        <v>4</v>
      </c>
    </row>
    <row r="74" spans="1:19" x14ac:dyDescent="0.3">
      <c r="B74" s="543"/>
      <c r="C74" s="544"/>
      <c r="D74" s="544"/>
      <c r="E74" s="564"/>
      <c r="F74" s="564"/>
      <c r="G74" s="564"/>
      <c r="H74" s="564"/>
      <c r="I74" s="564"/>
      <c r="J74" s="564"/>
      <c r="K74" s="564"/>
      <c r="L74" s="565"/>
      <c r="M74" s="10"/>
      <c r="O74" s="18"/>
    </row>
    <row r="75" spans="1:19" x14ac:dyDescent="0.3">
      <c r="B75" s="16"/>
      <c r="C75" s="35"/>
      <c r="D75" s="36"/>
      <c r="E75" s="36"/>
      <c r="F75" s="36"/>
      <c r="G75" s="36"/>
      <c r="H75" s="36"/>
      <c r="I75" s="36"/>
      <c r="J75" s="36"/>
      <c r="K75" s="36"/>
      <c r="L75" s="17"/>
      <c r="M75" s="10"/>
    </row>
    <row r="76" spans="1:19" x14ac:dyDescent="0.3">
      <c r="B76" s="503" t="str">
        <f>IF(Intro!$G$20="English",O76,P76)</f>
        <v xml:space="preserve">If your firm has more than one location, facility or outlet, submit a consolidated response to the questionnaire.
</v>
      </c>
      <c r="C76" s="504"/>
      <c r="D76" s="504"/>
      <c r="E76" s="504"/>
      <c r="F76" s="504"/>
      <c r="G76" s="504"/>
      <c r="H76" s="504"/>
      <c r="I76" s="504"/>
      <c r="J76" s="504"/>
      <c r="K76" s="504"/>
      <c r="L76" s="505"/>
      <c r="M76" s="10"/>
      <c r="O76" s="10" t="s">
        <v>177</v>
      </c>
      <c r="P76" s="10" t="s">
        <v>178</v>
      </c>
    </row>
    <row r="77" spans="1:19" x14ac:dyDescent="0.3">
      <c r="B77" s="566" t="str">
        <f>IF(Intro!$G$20="English",O77,P77)</f>
        <v>Provide the names and addresses of other locations, facilities, and outlets in Canada on behalf of which your company is responding.</v>
      </c>
      <c r="C77" s="567"/>
      <c r="D77" s="567"/>
      <c r="E77" s="572"/>
      <c r="F77" s="572"/>
      <c r="G77" s="572"/>
      <c r="H77" s="572"/>
      <c r="I77" s="572"/>
      <c r="J77" s="572"/>
      <c r="K77" s="572"/>
      <c r="L77" s="573"/>
      <c r="M77" s="10"/>
      <c r="O77" s="18" t="s">
        <v>25</v>
      </c>
      <c r="P77" s="10" t="s">
        <v>70</v>
      </c>
    </row>
    <row r="78" spans="1:19" x14ac:dyDescent="0.3">
      <c r="B78" s="568"/>
      <c r="C78" s="569"/>
      <c r="D78" s="569"/>
      <c r="E78" s="574"/>
      <c r="F78" s="574"/>
      <c r="G78" s="574"/>
      <c r="H78" s="574"/>
      <c r="I78" s="574"/>
      <c r="J78" s="574"/>
      <c r="K78" s="574"/>
      <c r="L78" s="575"/>
      <c r="M78" s="10"/>
      <c r="O78" s="18"/>
    </row>
    <row r="79" spans="1:19" x14ac:dyDescent="0.3">
      <c r="B79" s="568"/>
      <c r="C79" s="569"/>
      <c r="D79" s="569"/>
      <c r="E79" s="574"/>
      <c r="F79" s="574"/>
      <c r="G79" s="574"/>
      <c r="H79" s="574"/>
      <c r="I79" s="574"/>
      <c r="J79" s="574"/>
      <c r="K79" s="574"/>
      <c r="L79" s="575"/>
      <c r="M79" s="10"/>
      <c r="O79" s="18"/>
    </row>
    <row r="80" spans="1:19" x14ac:dyDescent="0.3">
      <c r="B80" s="568"/>
      <c r="C80" s="569"/>
      <c r="D80" s="569"/>
      <c r="E80" s="574"/>
      <c r="F80" s="574"/>
      <c r="G80" s="574"/>
      <c r="H80" s="574"/>
      <c r="I80" s="574"/>
      <c r="J80" s="574"/>
      <c r="K80" s="574"/>
      <c r="L80" s="575"/>
      <c r="M80" s="10"/>
      <c r="O80" s="18"/>
    </row>
    <row r="81" spans="2:16" x14ac:dyDescent="0.3">
      <c r="B81" s="568"/>
      <c r="C81" s="569"/>
      <c r="D81" s="569"/>
      <c r="E81" s="574"/>
      <c r="F81" s="574"/>
      <c r="G81" s="574"/>
      <c r="H81" s="574"/>
      <c r="I81" s="574"/>
      <c r="J81" s="574"/>
      <c r="K81" s="574"/>
      <c r="L81" s="575"/>
      <c r="M81" s="10"/>
      <c r="O81" s="18"/>
    </row>
    <row r="82" spans="2:16" x14ac:dyDescent="0.3">
      <c r="B82" s="568"/>
      <c r="C82" s="569"/>
      <c r="D82" s="569"/>
      <c r="E82" s="574"/>
      <c r="F82" s="574"/>
      <c r="G82" s="574"/>
      <c r="H82" s="574"/>
      <c r="I82" s="574"/>
      <c r="J82" s="574"/>
      <c r="K82" s="574"/>
      <c r="L82" s="575"/>
      <c r="M82" s="10"/>
      <c r="O82" s="18"/>
    </row>
    <row r="83" spans="2:16" x14ac:dyDescent="0.3">
      <c r="B83" s="568"/>
      <c r="C83" s="569"/>
      <c r="D83" s="569"/>
      <c r="E83" s="574"/>
      <c r="F83" s="574"/>
      <c r="G83" s="574"/>
      <c r="H83" s="574"/>
      <c r="I83" s="574"/>
      <c r="J83" s="574"/>
      <c r="K83" s="574"/>
      <c r="L83" s="575"/>
      <c r="M83" s="10"/>
      <c r="O83" s="18"/>
    </row>
    <row r="84" spans="2:16" x14ac:dyDescent="0.3">
      <c r="B84" s="568"/>
      <c r="C84" s="569"/>
      <c r="D84" s="569"/>
      <c r="E84" s="574"/>
      <c r="F84" s="574"/>
      <c r="G84" s="574"/>
      <c r="H84" s="574"/>
      <c r="I84" s="574"/>
      <c r="J84" s="574"/>
      <c r="K84" s="574"/>
      <c r="L84" s="575"/>
      <c r="M84" s="10"/>
      <c r="O84" s="18"/>
    </row>
    <row r="85" spans="2:16" x14ac:dyDescent="0.3">
      <c r="B85" s="568"/>
      <c r="C85" s="569"/>
      <c r="D85" s="569"/>
      <c r="E85" s="574"/>
      <c r="F85" s="574"/>
      <c r="G85" s="574"/>
      <c r="H85" s="574"/>
      <c r="I85" s="574"/>
      <c r="J85" s="574"/>
      <c r="K85" s="574"/>
      <c r="L85" s="575"/>
      <c r="M85" s="10"/>
      <c r="O85" s="18"/>
    </row>
    <row r="86" spans="2:16" x14ac:dyDescent="0.3">
      <c r="B86" s="570"/>
      <c r="C86" s="571"/>
      <c r="D86" s="571"/>
      <c r="E86" s="576"/>
      <c r="F86" s="576"/>
      <c r="G86" s="576"/>
      <c r="H86" s="576"/>
      <c r="I86" s="576"/>
      <c r="J86" s="576"/>
      <c r="K86" s="576"/>
      <c r="L86" s="577"/>
      <c r="M86" s="10"/>
      <c r="O86" s="18"/>
    </row>
    <row r="87" spans="2:16" x14ac:dyDescent="0.3">
      <c r="B87" s="72"/>
      <c r="C87" s="69"/>
      <c r="D87" s="69"/>
      <c r="E87" s="69"/>
      <c r="F87" s="69"/>
      <c r="G87" s="69"/>
      <c r="H87" s="69"/>
      <c r="I87" s="69"/>
      <c r="J87" s="69"/>
      <c r="K87" s="69"/>
      <c r="L87" s="70"/>
      <c r="M87" s="10"/>
    </row>
    <row r="89" spans="2:16" x14ac:dyDescent="0.3">
      <c r="B89" s="506" t="str">
        <f>IF(Intro!$G$20="English",O89,P89)</f>
        <v>CERTIFICATION</v>
      </c>
      <c r="C89" s="507"/>
      <c r="D89" s="507"/>
      <c r="E89" s="507"/>
      <c r="F89" s="507"/>
      <c r="G89" s="507"/>
      <c r="H89" s="507"/>
      <c r="I89" s="507"/>
      <c r="J89" s="507"/>
      <c r="K89" s="507"/>
      <c r="L89" s="508"/>
      <c r="M89" s="10"/>
      <c r="O89" s="10" t="s">
        <v>30</v>
      </c>
      <c r="P89" s="10" t="s">
        <v>31</v>
      </c>
    </row>
    <row r="90" spans="2:16" x14ac:dyDescent="0.3">
      <c r="B90" s="16"/>
      <c r="C90" s="35"/>
      <c r="D90" s="36"/>
      <c r="E90" s="36"/>
      <c r="F90" s="36"/>
      <c r="G90" s="36"/>
      <c r="H90" s="36"/>
      <c r="I90" s="36"/>
      <c r="J90" s="36"/>
      <c r="K90" s="36"/>
      <c r="L90" s="17"/>
      <c r="M90" s="10"/>
    </row>
    <row r="91" spans="2:16" x14ac:dyDescent="0.3">
      <c r="B91" s="559" t="str">
        <f>IF(Intro!$G$20="English",O91,P91)</f>
        <v xml:space="preserve">The undersigned certifies that the information supplied herein is complete and correct to the best of their knowledge and belief.
</v>
      </c>
      <c r="C91" s="560"/>
      <c r="D91" s="560"/>
      <c r="E91" s="560"/>
      <c r="F91" s="560"/>
      <c r="G91" s="560"/>
      <c r="H91" s="560"/>
      <c r="I91" s="560"/>
      <c r="J91" s="560"/>
      <c r="K91" s="560"/>
      <c r="L91" s="561"/>
      <c r="M91" s="10"/>
      <c r="O91" s="10" t="s">
        <v>239</v>
      </c>
      <c r="P91" s="9" t="s">
        <v>240</v>
      </c>
    </row>
    <row r="92" spans="2:16" x14ac:dyDescent="0.3">
      <c r="B92" s="74"/>
      <c r="C92" s="75"/>
      <c r="D92" s="75"/>
      <c r="E92" s="75"/>
      <c r="F92" s="75"/>
      <c r="G92" s="75"/>
      <c r="H92" s="75"/>
      <c r="I92" s="75"/>
      <c r="J92" s="75"/>
      <c r="K92" s="75"/>
      <c r="L92" s="58"/>
      <c r="M92" s="10"/>
    </row>
    <row r="93" spans="2:16" x14ac:dyDescent="0.3">
      <c r="B93" s="540" t="str">
        <f>IF(Intro!$G$20="English",O93,P93)</f>
        <v>Name of Authorized Official</v>
      </c>
      <c r="C93" s="541"/>
      <c r="D93" s="541"/>
      <c r="E93" s="562"/>
      <c r="F93" s="562"/>
      <c r="G93" s="562"/>
      <c r="H93" s="562"/>
      <c r="I93" s="562"/>
      <c r="J93" s="562"/>
      <c r="K93" s="562"/>
      <c r="L93" s="563"/>
      <c r="M93" s="10"/>
      <c r="O93" s="18" t="s">
        <v>5</v>
      </c>
      <c r="P93" s="10" t="s">
        <v>6</v>
      </c>
    </row>
    <row r="94" spans="2:16" x14ac:dyDescent="0.3">
      <c r="B94" s="540"/>
      <c r="C94" s="541"/>
      <c r="D94" s="541"/>
      <c r="E94" s="564"/>
      <c r="F94" s="564"/>
      <c r="G94" s="564"/>
      <c r="H94" s="564"/>
      <c r="I94" s="564"/>
      <c r="J94" s="564"/>
      <c r="K94" s="564"/>
      <c r="L94" s="565"/>
      <c r="M94" s="10"/>
      <c r="O94" s="18"/>
    </row>
    <row r="95" spans="2:16" x14ac:dyDescent="0.3">
      <c r="B95" s="540" t="str">
        <f>IF(Intro!$G$20="English",O95,P95)</f>
        <v>Title of Authorized Official</v>
      </c>
      <c r="C95" s="541"/>
      <c r="D95" s="542"/>
      <c r="E95" s="562"/>
      <c r="F95" s="562"/>
      <c r="G95" s="562"/>
      <c r="H95" s="562"/>
      <c r="I95" s="562"/>
      <c r="J95" s="562"/>
      <c r="K95" s="562"/>
      <c r="L95" s="563"/>
      <c r="M95" s="10"/>
      <c r="O95" s="18" t="s">
        <v>7</v>
      </c>
      <c r="P95" s="10" t="s">
        <v>8</v>
      </c>
    </row>
    <row r="96" spans="2:16" x14ac:dyDescent="0.3">
      <c r="B96" s="543"/>
      <c r="C96" s="544"/>
      <c r="D96" s="544"/>
      <c r="E96" s="564"/>
      <c r="F96" s="564"/>
      <c r="G96" s="564"/>
      <c r="H96" s="564"/>
      <c r="I96" s="564"/>
      <c r="J96" s="564"/>
      <c r="K96" s="564"/>
      <c r="L96" s="565"/>
      <c r="M96" s="10"/>
      <c r="O96" s="18"/>
    </row>
    <row r="97" spans="1:19" x14ac:dyDescent="0.3">
      <c r="B97" s="540" t="str">
        <f>IF(Intro!$G$20="English",O97,P97)</f>
        <v>E-mail Address</v>
      </c>
      <c r="C97" s="541"/>
      <c r="D97" s="542"/>
      <c r="E97" s="562"/>
      <c r="F97" s="562"/>
      <c r="G97" s="562"/>
      <c r="H97" s="562"/>
      <c r="I97" s="562"/>
      <c r="J97" s="562"/>
      <c r="K97" s="562"/>
      <c r="L97" s="563"/>
      <c r="M97" s="10"/>
      <c r="O97" s="18" t="s">
        <v>9</v>
      </c>
      <c r="P97" s="10" t="s">
        <v>71</v>
      </c>
    </row>
    <row r="98" spans="1:19" x14ac:dyDescent="0.3">
      <c r="B98" s="543"/>
      <c r="C98" s="544"/>
      <c r="D98" s="544"/>
      <c r="E98" s="564"/>
      <c r="F98" s="564"/>
      <c r="G98" s="564"/>
      <c r="H98" s="564"/>
      <c r="I98" s="564"/>
      <c r="J98" s="564"/>
      <c r="K98" s="564"/>
      <c r="L98" s="565"/>
      <c r="M98" s="10"/>
      <c r="O98" s="18"/>
    </row>
    <row r="99" spans="1:19" x14ac:dyDescent="0.3">
      <c r="B99" s="540" t="str">
        <f>IF(Intro!$G$20="English",O99,P99)</f>
        <v>Telephone</v>
      </c>
      <c r="C99" s="541"/>
      <c r="D99" s="542"/>
      <c r="E99" s="562"/>
      <c r="F99" s="562"/>
      <c r="G99" s="562"/>
      <c r="H99" s="562"/>
      <c r="I99" s="562"/>
      <c r="J99" s="562"/>
      <c r="K99" s="562"/>
      <c r="L99" s="563"/>
      <c r="M99" s="10"/>
      <c r="O99" s="18" t="s">
        <v>10</v>
      </c>
      <c r="P99" s="10" t="s">
        <v>11</v>
      </c>
    </row>
    <row r="100" spans="1:19" x14ac:dyDescent="0.3">
      <c r="B100" s="543"/>
      <c r="C100" s="544"/>
      <c r="D100" s="544"/>
      <c r="E100" s="564"/>
      <c r="F100" s="564"/>
      <c r="G100" s="564"/>
      <c r="H100" s="564"/>
      <c r="I100" s="564"/>
      <c r="J100" s="564"/>
      <c r="K100" s="564"/>
      <c r="L100" s="565"/>
      <c r="M100" s="10"/>
      <c r="O100" s="18"/>
    </row>
    <row r="101" spans="1:19" x14ac:dyDescent="0.3">
      <c r="B101" s="540" t="s">
        <v>72</v>
      </c>
      <c r="C101" s="541"/>
      <c r="D101" s="542"/>
      <c r="E101" s="562"/>
      <c r="F101" s="562"/>
      <c r="G101" s="562"/>
      <c r="H101" s="562"/>
      <c r="I101" s="562"/>
      <c r="J101" s="562"/>
      <c r="K101" s="562"/>
      <c r="L101" s="563"/>
      <c r="M101" s="10"/>
      <c r="O101" s="18"/>
    </row>
    <row r="102" spans="1:19" x14ac:dyDescent="0.3">
      <c r="B102" s="543"/>
      <c r="C102" s="544"/>
      <c r="D102" s="544"/>
      <c r="E102" s="564"/>
      <c r="F102" s="564"/>
      <c r="G102" s="564"/>
      <c r="H102" s="564"/>
      <c r="I102" s="564"/>
      <c r="J102" s="564"/>
      <c r="K102" s="564"/>
      <c r="L102" s="565"/>
      <c r="M102" s="10"/>
      <c r="O102" s="18"/>
    </row>
    <row r="103" spans="1:19" x14ac:dyDescent="0.3">
      <c r="B103" s="74"/>
      <c r="C103" s="75"/>
      <c r="D103" s="75"/>
      <c r="E103" s="75"/>
      <c r="F103" s="75"/>
      <c r="G103" s="75"/>
      <c r="H103" s="75"/>
      <c r="I103" s="75"/>
      <c r="J103" s="75"/>
      <c r="K103" s="75"/>
      <c r="L103" s="58"/>
      <c r="M103" s="10"/>
    </row>
    <row r="104" spans="1:19" ht="21" x14ac:dyDescent="0.3">
      <c r="B104" s="150"/>
      <c r="C104" s="66"/>
      <c r="D104" s="66"/>
      <c r="E104" s="66"/>
      <c r="F104" s="67"/>
      <c r="H104" s="153" t="str">
        <f>IF(Intro!$G$20="English",O104,P104)</f>
        <v>I understand that checking this box constitutes my legally binding signature.</v>
      </c>
      <c r="I104" s="126"/>
      <c r="J104" s="42"/>
      <c r="K104" s="42"/>
      <c r="L104" s="43"/>
      <c r="M104" s="10"/>
      <c r="O104" s="18" t="s">
        <v>61</v>
      </c>
      <c r="P104" s="10" t="s">
        <v>62</v>
      </c>
    </row>
    <row r="105" spans="1:19" x14ac:dyDescent="0.3">
      <c r="B105" s="72"/>
      <c r="C105" s="69"/>
      <c r="D105" s="69"/>
      <c r="E105" s="69"/>
      <c r="F105" s="69"/>
      <c r="G105" s="69"/>
      <c r="H105" s="69"/>
      <c r="I105" s="69"/>
      <c r="J105" s="69"/>
      <c r="K105" s="69"/>
      <c r="L105" s="70"/>
      <c r="M105" s="10"/>
    </row>
    <row r="106" spans="1:19" s="6" customFormat="1" x14ac:dyDescent="0.3">
      <c r="A106" s="4"/>
      <c r="B106" s="14"/>
      <c r="C106" s="14"/>
      <c r="D106" s="3"/>
      <c r="E106" s="3"/>
      <c r="F106" s="3"/>
      <c r="G106" s="3"/>
      <c r="H106" s="3"/>
      <c r="I106" s="3"/>
      <c r="J106" s="3"/>
      <c r="K106" s="3"/>
      <c r="L106" s="3"/>
      <c r="O106" s="27"/>
      <c r="P106" s="27"/>
      <c r="Q106" s="10"/>
      <c r="R106" s="10"/>
      <c r="S106" s="10"/>
    </row>
    <row r="107" spans="1:19" s="2" customFormat="1" x14ac:dyDescent="0.3">
      <c r="A107" s="4"/>
      <c r="B107" s="509" t="str">
        <f>IF(Intro!$G$20="English",O107,P107)</f>
        <v>SUBMITTING THE QUESTIONNAIRE RESPONSE</v>
      </c>
      <c r="C107" s="510" t="str">
        <f>UPPER(IF(Intro!$G$20="English",P107,Q107))</f>
        <v>TRANSMISSION DU QUESTIONNAIRE REMPLI</v>
      </c>
      <c r="D107" s="510" t="str">
        <f>UPPER(IF(Intro!$G$20="English",Q107,R107))</f>
        <v/>
      </c>
      <c r="E107" s="510" t="str">
        <f>UPPER(IF(Intro!$G$20="English",R107,S107))</f>
        <v/>
      </c>
      <c r="F107" s="510" t="str">
        <f>UPPER(IF(Intro!$G$20="English",S107,T107))</f>
        <v/>
      </c>
      <c r="G107" s="510"/>
      <c r="H107" s="510" t="str">
        <f>UPPER(IF(Intro!$G$20="English",T107,U107))</f>
        <v/>
      </c>
      <c r="I107" s="510" t="str">
        <f>UPPER(IF(Intro!$G$20="English",U107,V107))</f>
        <v/>
      </c>
      <c r="J107" s="510" t="str">
        <f>UPPER(IF(Intro!$G$20="English",V107,W107))</f>
        <v/>
      </c>
      <c r="K107" s="510" t="str">
        <f>UPPER(IF(Intro!$G$20="English",W107,X107))</f>
        <v/>
      </c>
      <c r="L107" s="511" t="str">
        <f>UPPER(IF(Intro!$G$20="English",X107,Y107))</f>
        <v/>
      </c>
      <c r="M107" s="6"/>
      <c r="N107" s="25"/>
      <c r="O107" s="9" t="s">
        <v>69</v>
      </c>
      <c r="P107" s="9" t="s">
        <v>0</v>
      </c>
      <c r="Q107" s="41"/>
      <c r="R107" s="41"/>
      <c r="S107" s="41"/>
    </row>
    <row r="108" spans="1:19" x14ac:dyDescent="0.3">
      <c r="B108" s="16"/>
      <c r="C108" s="35"/>
      <c r="D108" s="36"/>
      <c r="E108" s="36"/>
      <c r="F108" s="36"/>
      <c r="G108" s="36"/>
      <c r="H108" s="36"/>
      <c r="I108" s="36"/>
      <c r="J108" s="36"/>
      <c r="K108" s="36"/>
      <c r="L108" s="17"/>
      <c r="M108" s="10"/>
    </row>
    <row r="109" spans="1:19" x14ac:dyDescent="0.3">
      <c r="B109" s="503" t="str">
        <f>IF(Intro!$G$20="English",O109,P109)</f>
        <v>The completed questionnaire can be submitted using one of the following methods:</v>
      </c>
      <c r="C109" s="504"/>
      <c r="D109" s="504"/>
      <c r="E109" s="504"/>
      <c r="F109" s="504"/>
      <c r="G109" s="504"/>
      <c r="H109" s="504"/>
      <c r="I109" s="504"/>
      <c r="J109" s="504"/>
      <c r="K109" s="504"/>
      <c r="L109" s="505"/>
      <c r="M109" s="10"/>
      <c r="O109" s="10" t="s">
        <v>112</v>
      </c>
      <c r="P109" s="10" t="s">
        <v>180</v>
      </c>
    </row>
    <row r="110" spans="1:19" x14ac:dyDescent="0.3">
      <c r="B110" s="556" t="str">
        <f>IF($G$20="English",HYPERLINK("https://e-filing-depot-electronique.citt-tcce.gc.ca/submitNonRegisteredUser-eng.aspx","1. Secure E-filing service;"),IF($G$20="Français",HYPERLINK("https://e-filing-depot-electronique.citt-tcce.gc.ca/submitNonRegisteredUser-fra.aspx?","1. Service sécurisé de dépôt électronique;"),""))</f>
        <v>1. Secure E-filing service;</v>
      </c>
      <c r="C110" s="557"/>
      <c r="D110" s="557"/>
      <c r="E110" s="557"/>
      <c r="F110" s="557"/>
      <c r="G110" s="557"/>
      <c r="H110" s="557"/>
      <c r="I110" s="557"/>
      <c r="J110" s="557"/>
      <c r="K110" s="557"/>
      <c r="L110" s="558"/>
      <c r="M110" s="10"/>
    </row>
    <row r="111" spans="1:19" x14ac:dyDescent="0.3">
      <c r="B111" s="578" t="str">
        <f>IF(Intro!$G$20="English",O111,P111)</f>
        <v xml:space="preserve">When submitting the completed questionnaire using the secure E-filing service, designate the questionnaire as confidential. Note that the information in the public (blue) tabs in your questionnaire will be treated as public information.
</v>
      </c>
      <c r="C111" s="579"/>
      <c r="D111" s="579"/>
      <c r="E111" s="579"/>
      <c r="F111" s="579"/>
      <c r="G111" s="579"/>
      <c r="H111" s="579"/>
      <c r="I111" s="579"/>
      <c r="J111" s="579"/>
      <c r="K111" s="579"/>
      <c r="L111" s="580"/>
      <c r="M111" s="10"/>
      <c r="O111" s="10" t="s">
        <v>179</v>
      </c>
      <c r="P111" s="10" t="s">
        <v>181</v>
      </c>
    </row>
    <row r="112" spans="1:19" x14ac:dyDescent="0.3">
      <c r="B112" s="578"/>
      <c r="C112" s="579"/>
      <c r="D112" s="579"/>
      <c r="E112" s="579"/>
      <c r="F112" s="579"/>
      <c r="G112" s="579"/>
      <c r="H112" s="579"/>
      <c r="I112" s="579"/>
      <c r="J112" s="579"/>
      <c r="K112" s="579"/>
      <c r="L112" s="580"/>
      <c r="M112" s="10"/>
    </row>
    <row r="113" spans="1:19" x14ac:dyDescent="0.3">
      <c r="B113" s="500" t="str">
        <f>IF(Intro!$G$20="English",O113,P113)</f>
        <v>2. E-mail to citt-tcce@tribunal.gc.ca should you accept the associated risks and you are filing information that belongs to your firm only.</v>
      </c>
      <c r="C113" s="501"/>
      <c r="D113" s="501"/>
      <c r="E113" s="501"/>
      <c r="F113" s="501"/>
      <c r="G113" s="501"/>
      <c r="H113" s="501"/>
      <c r="I113" s="501"/>
      <c r="J113" s="501"/>
      <c r="K113" s="501"/>
      <c r="L113" s="502"/>
      <c r="M113" s="10"/>
      <c r="O113" s="10" t="s">
        <v>272</v>
      </c>
      <c r="P113" s="10" t="s">
        <v>273</v>
      </c>
    </row>
    <row r="114" spans="1:19" x14ac:dyDescent="0.3">
      <c r="B114" s="72"/>
      <c r="C114" s="69"/>
      <c r="D114" s="69"/>
      <c r="E114" s="69"/>
      <c r="F114" s="69"/>
      <c r="G114" s="69"/>
      <c r="H114" s="69"/>
      <c r="I114" s="69"/>
      <c r="J114" s="69"/>
      <c r="K114" s="69"/>
      <c r="L114" s="70"/>
      <c r="M114" s="10"/>
    </row>
    <row r="116" spans="1:19" s="2" customFormat="1" x14ac:dyDescent="0.3">
      <c r="A116" s="4"/>
      <c r="B116" s="509" t="s">
        <v>307</v>
      </c>
      <c r="C116" s="510" t="str">
        <f>UPPER(IF(Intro!$G$20="English",P116,Q116))</f>
        <v/>
      </c>
      <c r="D116" s="510" t="str">
        <f>UPPER(IF(Intro!$G$20="English",Q116,R116))</f>
        <v/>
      </c>
      <c r="E116" s="510" t="str">
        <f>UPPER(IF(Intro!$G$20="English",R116,S116))</f>
        <v/>
      </c>
      <c r="F116" s="510" t="str">
        <f>UPPER(IF(Intro!$G$20="English",S116,T116))</f>
        <v/>
      </c>
      <c r="G116" s="510"/>
      <c r="H116" s="510" t="str">
        <f>UPPER(IF(Intro!$G$20="English",T116,U116))</f>
        <v/>
      </c>
      <c r="I116" s="510" t="str">
        <f>UPPER(IF(Intro!$G$20="English",U116,V116))</f>
        <v/>
      </c>
      <c r="J116" s="510" t="str">
        <f>UPPER(IF(Intro!$G$20="English",V116,W116))</f>
        <v/>
      </c>
      <c r="K116" s="510" t="str">
        <f>UPPER(IF(Intro!$G$20="English",W116,X116))</f>
        <v/>
      </c>
      <c r="L116" s="511" t="str">
        <f>UPPER(IF(Intro!$G$20="English",X116,Y116))</f>
        <v/>
      </c>
      <c r="M116" s="6"/>
      <c r="N116" s="25"/>
      <c r="O116" s="9"/>
      <c r="P116" s="9"/>
      <c r="Q116" s="41"/>
      <c r="R116" s="41"/>
      <c r="S116" s="41"/>
    </row>
    <row r="117" spans="1:19" x14ac:dyDescent="0.3">
      <c r="B117" s="16"/>
      <c r="C117" s="35"/>
      <c r="D117" s="36"/>
      <c r="E117" s="36"/>
      <c r="F117" s="36"/>
      <c r="G117" s="36"/>
      <c r="H117" s="36"/>
      <c r="I117" s="36"/>
      <c r="J117" s="36"/>
      <c r="K117" s="36"/>
      <c r="L117" s="17"/>
      <c r="M117" s="10"/>
    </row>
    <row r="118" spans="1:19" x14ac:dyDescent="0.3">
      <c r="B118" s="503" t="str">
        <f>IF(Intro!$G$20="English",O118,P118)</f>
        <v xml:space="preserve">Questions relating to this questionnaire should be directed to:
</v>
      </c>
      <c r="C118" s="504"/>
      <c r="D118" s="504"/>
      <c r="E118" s="504"/>
      <c r="F118" s="504"/>
      <c r="G118" s="504"/>
      <c r="H118" s="504"/>
      <c r="I118" s="504"/>
      <c r="J118" s="504"/>
      <c r="K118" s="504"/>
      <c r="L118" s="505"/>
      <c r="M118" s="10"/>
      <c r="O118" s="10" t="s">
        <v>201</v>
      </c>
      <c r="P118" s="10" t="s">
        <v>202</v>
      </c>
    </row>
    <row r="119" spans="1:19" x14ac:dyDescent="0.3">
      <c r="B119" s="79"/>
      <c r="C119" s="80"/>
      <c r="D119" s="80"/>
      <c r="E119" s="80"/>
      <c r="F119" s="80"/>
      <c r="G119" s="80"/>
      <c r="H119" s="80"/>
      <c r="I119" s="80"/>
      <c r="J119" s="80"/>
      <c r="K119" s="80"/>
      <c r="L119" s="81"/>
      <c r="M119" s="10"/>
    </row>
    <row r="120" spans="1:19" x14ac:dyDescent="0.3">
      <c r="B120" s="581" t="str">
        <f>Variables!B13</f>
        <v>Andrew Wigmore</v>
      </c>
      <c r="C120" s="582"/>
      <c r="D120" s="582"/>
      <c r="E120" s="582" t="str">
        <f>Variables!C13</f>
        <v>Andrew.Wigmore@tribunal.gc.ca</v>
      </c>
      <c r="F120" s="582"/>
      <c r="G120" s="582"/>
      <c r="H120" s="582"/>
      <c r="I120" s="582"/>
      <c r="J120" s="582" t="str">
        <f>Variables!D13</f>
        <v>613-558-9353</v>
      </c>
      <c r="K120" s="582"/>
      <c r="L120" s="583"/>
      <c r="M120" s="10"/>
      <c r="O120" s="18"/>
    </row>
    <row r="121" spans="1:19" x14ac:dyDescent="0.3">
      <c r="B121" s="581" t="str">
        <f>Variables!B14</f>
        <v>Joseph Long</v>
      </c>
      <c r="C121" s="582"/>
      <c r="D121" s="582"/>
      <c r="E121" s="582" t="str">
        <f>Variables!C14</f>
        <v>Joseph.Long@tribunal.gc.ca</v>
      </c>
      <c r="F121" s="582"/>
      <c r="G121" s="582"/>
      <c r="H121" s="582"/>
      <c r="I121" s="582"/>
      <c r="J121" s="582" t="str">
        <f>Variables!D14</f>
        <v>343-597-3847</v>
      </c>
      <c r="K121" s="582"/>
      <c r="L121" s="583"/>
      <c r="M121" s="10"/>
      <c r="O121" s="18"/>
    </row>
    <row r="122" spans="1:19" x14ac:dyDescent="0.3">
      <c r="B122" s="72"/>
      <c r="C122" s="69"/>
      <c r="D122" s="69"/>
      <c r="E122" s="69"/>
      <c r="F122" s="69"/>
      <c r="G122" s="69"/>
      <c r="H122" s="69"/>
      <c r="I122" s="69"/>
      <c r="J122" s="69"/>
      <c r="K122" s="69"/>
      <c r="L122" s="70"/>
      <c r="M122" s="10"/>
    </row>
  </sheetData>
  <sheetProtection algorithmName="SHA-512" hashValue="ZEyhHbdyxWc2/AbhtrWqiTv4J17YS11dH24aYw46Q8yxO3bDZNIRAtAYphqu/Dx644G1uaDVUVf06EWpFro0OQ==" saltValue="jUr+8v4wmO/aVIiHcwPfUQ==" spinCount="100000" sheet="1" objects="1" scenarios="1" selectLockedCells="1"/>
  <mergeCells count="61">
    <mergeCell ref="B20:F21"/>
    <mergeCell ref="H20:L21"/>
    <mergeCell ref="E95:L96"/>
    <mergeCell ref="E97:L98"/>
    <mergeCell ref="E99:L100"/>
    <mergeCell ref="B93:D94"/>
    <mergeCell ref="B95:D96"/>
    <mergeCell ref="B97:D98"/>
    <mergeCell ref="B99:D100"/>
    <mergeCell ref="B73:D74"/>
    <mergeCell ref="E69:L70"/>
    <mergeCell ref="E71:L72"/>
    <mergeCell ref="B43:L43"/>
    <mergeCell ref="E93:L94"/>
    <mergeCell ref="B89:L89"/>
    <mergeCell ref="B67:L67"/>
    <mergeCell ref="B121:D121"/>
    <mergeCell ref="E120:I120"/>
    <mergeCell ref="E121:I121"/>
    <mergeCell ref="J120:L120"/>
    <mergeCell ref="J121:L121"/>
    <mergeCell ref="B120:D120"/>
    <mergeCell ref="B118:L118"/>
    <mergeCell ref="B116:L116"/>
    <mergeCell ref="B107:L107"/>
    <mergeCell ref="B110:L110"/>
    <mergeCell ref="B61:L61"/>
    <mergeCell ref="B76:L76"/>
    <mergeCell ref="B91:L91"/>
    <mergeCell ref="E73:L74"/>
    <mergeCell ref="B77:D86"/>
    <mergeCell ref="E77:L86"/>
    <mergeCell ref="B63:L64"/>
    <mergeCell ref="B69:D70"/>
    <mergeCell ref="B71:D72"/>
    <mergeCell ref="B113:L113"/>
    <mergeCell ref="B111:L112"/>
    <mergeCell ref="E101:L102"/>
    <mergeCell ref="B4:L4"/>
    <mergeCell ref="B5:L5"/>
    <mergeCell ref="B8:L8"/>
    <mergeCell ref="B18:L18"/>
    <mergeCell ref="B6:L6"/>
    <mergeCell ref="B10:F15"/>
    <mergeCell ref="H10:L15"/>
    <mergeCell ref="O9:P16"/>
    <mergeCell ref="G20:G21"/>
    <mergeCell ref="B38:L38"/>
    <mergeCell ref="B109:L109"/>
    <mergeCell ref="B36:L36"/>
    <mergeCell ref="B55:L55"/>
    <mergeCell ref="B24:L24"/>
    <mergeCell ref="B26:L26"/>
    <mergeCell ref="B33:L33"/>
    <mergeCell ref="C28:K31"/>
    <mergeCell ref="D40:D41"/>
    <mergeCell ref="B40:C41"/>
    <mergeCell ref="E40:K41"/>
    <mergeCell ref="B45:L52"/>
    <mergeCell ref="D57:J58"/>
    <mergeCell ref="B101:D102"/>
  </mergeCells>
  <dataValidations count="2">
    <dataValidation type="list" allowBlank="1" showInputMessage="1" showErrorMessage="1" sqref="I104" xr:uid="{EA43E088-98E8-4631-9262-1DAFC17B3891}">
      <formula1>"X"</formula1>
    </dataValidation>
    <dataValidation type="list" allowBlank="1" showInputMessage="1" showErrorMessage="1" sqref="G20"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0"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D40:D41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99D9-4725-4949-8557-0FA11FA2BCA2}">
  <dimension ref="A1:AW147"/>
  <sheetViews>
    <sheetView zoomScale="87" workbookViewId="0">
      <selection activeCell="B58" sqref="B58:D59"/>
    </sheetView>
  </sheetViews>
  <sheetFormatPr defaultRowHeight="14.4" x14ac:dyDescent="0.3"/>
  <cols>
    <col min="3" max="3" width="11.5546875" customWidth="1"/>
    <col min="6" max="6" width="8.5546875" customWidth="1"/>
    <col min="7" max="7" width="8" customWidth="1"/>
    <col min="8" max="8" width="9.5546875" customWidth="1"/>
    <col min="9" max="9" width="8" customWidth="1"/>
    <col min="14" max="15" width="9.109375" customWidth="1"/>
    <col min="16" max="16" width="10.44140625" customWidth="1"/>
    <col min="18" max="18" width="10.5546875" customWidth="1"/>
    <col min="19" max="19" width="10.44140625" customWidth="1"/>
    <col min="20" max="20" width="9.5546875" bestFit="1" customWidth="1"/>
    <col min="21" max="21" width="10.109375" customWidth="1"/>
    <col min="22" max="22" width="10.5546875" customWidth="1"/>
    <col min="27" max="27" width="9.33203125" customWidth="1"/>
    <col min="31" max="31" width="9.44140625" customWidth="1"/>
    <col min="32" max="32" width="9.88671875" customWidth="1"/>
    <col min="34" max="34" width="10.44140625" customWidth="1"/>
    <col min="35" max="35" width="10.109375" customWidth="1"/>
  </cols>
  <sheetData>
    <row r="1" spans="2:49" x14ac:dyDescent="0.3">
      <c r="V1" s="324"/>
      <c r="W1" s="324"/>
      <c r="X1" s="324"/>
      <c r="Y1" s="324"/>
      <c r="Z1" s="324"/>
      <c r="AA1" s="324"/>
      <c r="AB1" s="324"/>
      <c r="AC1" s="324"/>
      <c r="AD1" s="324"/>
      <c r="AE1" s="324"/>
      <c r="AF1" s="324"/>
      <c r="AG1" s="324"/>
      <c r="AH1" s="324"/>
      <c r="AI1" s="324"/>
    </row>
    <row r="2" spans="2:49" x14ac:dyDescent="0.3">
      <c r="C2" s="488" t="s">
        <v>787</v>
      </c>
      <c r="V2" s="324"/>
      <c r="W2" s="324"/>
      <c r="X2" s="324"/>
      <c r="Y2" s="324"/>
      <c r="Z2" s="324"/>
      <c r="AA2" s="324"/>
      <c r="AB2" s="324"/>
      <c r="AC2" s="324"/>
      <c r="AD2" s="324"/>
      <c r="AE2" s="324"/>
      <c r="AF2" s="324"/>
      <c r="AG2" s="324"/>
      <c r="AH2" s="324"/>
      <c r="AI2" s="324"/>
    </row>
    <row r="3" spans="2:49" x14ac:dyDescent="0.3">
      <c r="B3" s="478"/>
      <c r="V3" s="324"/>
      <c r="W3" s="324"/>
      <c r="X3" s="324"/>
      <c r="Y3" s="324"/>
      <c r="Z3" s="324"/>
      <c r="AA3" s="324"/>
      <c r="AB3" s="324"/>
      <c r="AC3" s="324"/>
      <c r="AD3" s="324"/>
      <c r="AE3" s="324"/>
      <c r="AF3" s="324"/>
      <c r="AG3" s="324"/>
      <c r="AH3" s="324"/>
      <c r="AI3" s="324"/>
    </row>
    <row r="4" spans="2:49" x14ac:dyDescent="0.3">
      <c r="B4" s="843" t="s">
        <v>607</v>
      </c>
      <c r="C4" s="844"/>
      <c r="V4" s="324"/>
      <c r="W4" s="324"/>
      <c r="X4" s="324"/>
      <c r="Y4" s="324"/>
      <c r="Z4" s="324"/>
      <c r="AA4" s="324"/>
      <c r="AB4" s="324"/>
      <c r="AC4" s="324"/>
      <c r="AD4" s="324"/>
      <c r="AE4" s="324"/>
      <c r="AF4" s="324"/>
      <c r="AG4" s="324"/>
      <c r="AH4" s="324"/>
      <c r="AI4" s="324"/>
    </row>
    <row r="5" spans="2:49" ht="17.25" customHeight="1" x14ac:dyDescent="0.3">
      <c r="B5" s="337" t="s">
        <v>608</v>
      </c>
      <c r="C5" s="337" t="s">
        <v>609</v>
      </c>
      <c r="D5" s="337" t="s">
        <v>610</v>
      </c>
      <c r="E5" s="338" t="s">
        <v>611</v>
      </c>
      <c r="F5" s="338" t="s">
        <v>612</v>
      </c>
      <c r="G5" s="338" t="s">
        <v>613</v>
      </c>
      <c r="H5" s="339" t="s">
        <v>614</v>
      </c>
      <c r="I5" s="339" t="s">
        <v>646</v>
      </c>
      <c r="J5" s="338" t="s">
        <v>615</v>
      </c>
      <c r="K5" s="340" t="s">
        <v>616</v>
      </c>
      <c r="L5" s="340" t="s">
        <v>617</v>
      </c>
      <c r="M5" s="340" t="s">
        <v>618</v>
      </c>
      <c r="N5" s="340" t="s">
        <v>765</v>
      </c>
      <c r="O5" s="340" t="s">
        <v>773</v>
      </c>
      <c r="V5" s="324"/>
      <c r="W5" s="325"/>
      <c r="X5" s="325"/>
      <c r="Y5" s="325"/>
      <c r="Z5" s="326"/>
      <c r="AA5" s="326"/>
      <c r="AB5" s="326"/>
      <c r="AC5" s="327"/>
      <c r="AD5" s="327"/>
      <c r="AE5" s="326"/>
      <c r="AF5" s="328"/>
      <c r="AG5" s="328"/>
      <c r="AH5" s="328"/>
      <c r="AI5" s="324"/>
    </row>
    <row r="6" spans="2:49" x14ac:dyDescent="0.3">
      <c r="B6" s="329">
        <f>Intro!$E$69</f>
        <v>0</v>
      </c>
      <c r="C6" s="329" t="s">
        <v>619</v>
      </c>
      <c r="D6" s="329" t="s">
        <v>620</v>
      </c>
      <c r="E6" s="330" t="s">
        <v>621</v>
      </c>
      <c r="F6" s="330" t="s">
        <v>622</v>
      </c>
      <c r="G6" s="330"/>
      <c r="H6" s="331" t="str">
        <f>_xlfn.TEXTJOIN(", ", TRUE,IF(Public!$K$17="X","Retailer",""),IF(Public!$K$18="X","Distributor",""),IF(Public!$K$19="X","End User",""),IF(Public!$K$21="X","End User",""))</f>
        <v/>
      </c>
      <c r="I6" s="332" t="s">
        <v>564</v>
      </c>
      <c r="J6" s="360" t="s">
        <v>623</v>
      </c>
      <c r="K6" s="363" t="str">
        <f>Confirm!E36</f>
        <v>-</v>
      </c>
      <c r="L6" s="333" t="str">
        <f>Confirm!F36</f>
        <v>-</v>
      </c>
      <c r="M6" s="333" t="str">
        <f>Confirm!G36</f>
        <v>-</v>
      </c>
      <c r="N6" s="333" t="str">
        <f>Confirm!H36</f>
        <v>-</v>
      </c>
      <c r="O6" s="364" t="str">
        <f>Confirm!I36</f>
        <v>-</v>
      </c>
      <c r="V6" s="324"/>
      <c r="W6" s="329"/>
      <c r="X6" s="329"/>
      <c r="Y6" s="329"/>
      <c r="Z6" s="330"/>
      <c r="AA6" s="330"/>
      <c r="AB6" s="330"/>
      <c r="AC6" s="331"/>
      <c r="AD6" s="332"/>
      <c r="AE6" s="330"/>
      <c r="AF6" s="333"/>
      <c r="AG6" s="333"/>
      <c r="AH6" s="333"/>
      <c r="AI6" s="324"/>
    </row>
    <row r="7" spans="2:49" x14ac:dyDescent="0.3">
      <c r="B7" s="329">
        <f>Intro!$E$69</f>
        <v>0</v>
      </c>
      <c r="C7" s="334" t="str">
        <f>C6</f>
        <v>Importer   |  Importateurs</v>
      </c>
      <c r="D7" s="334" t="s">
        <v>620</v>
      </c>
      <c r="E7" s="335" t="s">
        <v>624</v>
      </c>
      <c r="F7" s="335" t="s">
        <v>625</v>
      </c>
      <c r="G7" s="335"/>
      <c r="H7" s="331" t="str">
        <f>_xlfn.TEXTJOIN(", ", TRUE,IF(Public!$K$17="X","Retailer",""),IF(Public!$K$18="X","Distributor",""),IF(Public!$K$19="X","End User",""),IF(Public!$K$21="X","End User",""))</f>
        <v/>
      </c>
      <c r="I7" s="332" t="s">
        <v>564</v>
      </c>
      <c r="J7" s="361" t="s">
        <v>623</v>
      </c>
      <c r="K7" s="365" t="str">
        <f>Confirm!E37</f>
        <v>-</v>
      </c>
      <c r="L7" s="336" t="str">
        <f>Confirm!F37</f>
        <v>-</v>
      </c>
      <c r="M7" s="336" t="str">
        <f>Confirm!G37</f>
        <v>-</v>
      </c>
      <c r="N7" s="336" t="str">
        <f>Confirm!H37</f>
        <v>-</v>
      </c>
      <c r="O7" s="366" t="str">
        <f>Confirm!I37</f>
        <v>-</v>
      </c>
      <c r="V7" s="324"/>
      <c r="W7" s="329"/>
      <c r="X7" s="334"/>
      <c r="Y7" s="334"/>
      <c r="Z7" s="335"/>
      <c r="AA7" s="335"/>
      <c r="AB7" s="335"/>
      <c r="AC7" s="334"/>
      <c r="AD7" s="332"/>
      <c r="AE7" s="335"/>
      <c r="AF7" s="336"/>
      <c r="AG7" s="336"/>
      <c r="AH7" s="336"/>
      <c r="AI7" s="324"/>
    </row>
    <row r="8" spans="2:49" x14ac:dyDescent="0.3">
      <c r="B8" s="329">
        <f>Intro!$E$69</f>
        <v>0</v>
      </c>
      <c r="C8" s="334" t="str">
        <f>C7</f>
        <v>Importer   |  Importateurs</v>
      </c>
      <c r="D8" s="334" t="s">
        <v>620</v>
      </c>
      <c r="E8" s="335" t="s">
        <v>626</v>
      </c>
      <c r="F8" s="335" t="s">
        <v>625</v>
      </c>
      <c r="G8" s="335" t="str">
        <f>Confirm!E39</f>
        <v>-</v>
      </c>
      <c r="H8" s="331" t="str">
        <f>_xlfn.TEXTJOIN(", ", TRUE,IF(Public!$K$17="X","Retailer",""),IF(Public!$K$18="X","Distributor",""),IF(Public!$K$19="X","End User",""),IF(Public!$K$21="X","End User",""))</f>
        <v/>
      </c>
      <c r="I8" s="332" t="s">
        <v>564</v>
      </c>
      <c r="J8" s="361" t="s">
        <v>623</v>
      </c>
      <c r="K8" s="365" t="str">
        <f>Confirm!E38</f>
        <v>-</v>
      </c>
      <c r="L8" s="336" t="str">
        <f>Confirm!F38</f>
        <v>-</v>
      </c>
      <c r="M8" s="336" t="str">
        <f>Confirm!G38</f>
        <v>-</v>
      </c>
      <c r="N8" s="336" t="str">
        <f>Confirm!H38</f>
        <v>-</v>
      </c>
      <c r="O8" s="366" t="str">
        <f>Confirm!I38</f>
        <v>-</v>
      </c>
      <c r="V8" s="324"/>
      <c r="W8" s="329"/>
      <c r="X8" s="334"/>
      <c r="Y8" s="334"/>
      <c r="Z8" s="335"/>
      <c r="AA8" s="335"/>
      <c r="AB8" s="335"/>
      <c r="AC8" s="334"/>
      <c r="AD8" s="332"/>
      <c r="AE8" s="335"/>
      <c r="AF8" s="336"/>
      <c r="AG8" s="336"/>
      <c r="AH8" s="336"/>
      <c r="AI8" s="324"/>
    </row>
    <row r="9" spans="2:49" x14ac:dyDescent="0.3">
      <c r="B9" s="329">
        <f>Intro!$E$69</f>
        <v>0</v>
      </c>
      <c r="C9" s="334" t="str">
        <f t="shared" ref="C9:C11" si="0">C8</f>
        <v>Importer   |  Importateurs</v>
      </c>
      <c r="D9" s="334" t="s">
        <v>627</v>
      </c>
      <c r="E9" s="335" t="s">
        <v>628</v>
      </c>
      <c r="F9" s="335" t="s">
        <v>623</v>
      </c>
      <c r="G9" s="335"/>
      <c r="H9" s="331" t="str">
        <f>_xlfn.TEXTJOIN(", ", TRUE,IF(Public!$K$17="X","Retailer",""),IF(Public!$K$18="X","Distributor",""),IF(Public!$K$19="X","End User",""),IF(Public!$K$21="X","End User",""))</f>
        <v/>
      </c>
      <c r="I9" s="332" t="s">
        <v>564</v>
      </c>
      <c r="J9" s="361" t="s">
        <v>767</v>
      </c>
      <c r="K9" s="365" t="str">
        <f>Confirm!E42</f>
        <v>-</v>
      </c>
      <c r="L9" s="336" t="str">
        <f>Confirm!F42</f>
        <v>-</v>
      </c>
      <c r="M9" s="336" t="str">
        <f>Confirm!G42</f>
        <v>-</v>
      </c>
      <c r="N9" s="336" t="str">
        <f>Confirm!H42</f>
        <v>-</v>
      </c>
      <c r="O9" s="366" t="str">
        <f>Confirm!I42</f>
        <v>-</v>
      </c>
      <c r="V9" s="324"/>
      <c r="W9" s="329"/>
      <c r="X9" s="334"/>
      <c r="Y9" s="334"/>
      <c r="Z9" s="335"/>
      <c r="AA9" s="335"/>
      <c r="AB9" s="335"/>
      <c r="AC9" s="334"/>
      <c r="AD9" s="332"/>
      <c r="AE9" s="335"/>
      <c r="AF9" s="336"/>
      <c r="AG9" s="336"/>
      <c r="AH9" s="336"/>
      <c r="AI9" s="324"/>
    </row>
    <row r="10" spans="2:49" x14ac:dyDescent="0.3">
      <c r="B10" s="329">
        <f>Intro!$E$69</f>
        <v>0</v>
      </c>
      <c r="C10" s="334" t="str">
        <f t="shared" si="0"/>
        <v>Importer   |  Importateurs</v>
      </c>
      <c r="D10" s="334" t="s">
        <v>627</v>
      </c>
      <c r="E10" s="335" t="s">
        <v>628</v>
      </c>
      <c r="F10" s="335" t="s">
        <v>623</v>
      </c>
      <c r="G10" s="335"/>
      <c r="H10" s="331" t="str">
        <f>_xlfn.TEXTJOIN(", ", TRUE,IF(Public!$K$17="X","Retailer",""),IF(Public!$K$18="X","Distributor",""),IF(Public!$K$19="X","End User",""),IF(Public!$K$21="X","End User",""))</f>
        <v/>
      </c>
      <c r="I10" s="332" t="s">
        <v>564</v>
      </c>
      <c r="J10" s="361" t="s">
        <v>766</v>
      </c>
      <c r="K10" s="365" t="str">
        <f>Confirm!E43</f>
        <v>-</v>
      </c>
      <c r="L10" s="336" t="str">
        <f>Confirm!F43</f>
        <v>-</v>
      </c>
      <c r="M10" s="336" t="str">
        <f>Confirm!G43</f>
        <v>-</v>
      </c>
      <c r="N10" s="336" t="str">
        <f>Confirm!H43</f>
        <v>-</v>
      </c>
      <c r="O10" s="366" t="str">
        <f>Confirm!I43</f>
        <v>-</v>
      </c>
      <c r="V10" s="324"/>
      <c r="W10" s="329"/>
      <c r="X10" s="334"/>
      <c r="Y10" s="334"/>
      <c r="Z10" s="335"/>
      <c r="AA10" s="335"/>
      <c r="AB10" s="335"/>
      <c r="AC10" s="334"/>
      <c r="AD10" s="332"/>
      <c r="AE10" s="335"/>
      <c r="AF10" s="336"/>
      <c r="AG10" s="336"/>
      <c r="AH10" s="336"/>
      <c r="AI10" s="324"/>
    </row>
    <row r="11" spans="2:49" x14ac:dyDescent="0.3">
      <c r="B11" s="329">
        <f>Intro!$E$69</f>
        <v>0</v>
      </c>
      <c r="C11" s="334" t="str">
        <f t="shared" si="0"/>
        <v>Importer   |  Importateurs</v>
      </c>
      <c r="D11" s="334" t="s">
        <v>629</v>
      </c>
      <c r="E11" s="335" t="s">
        <v>628</v>
      </c>
      <c r="F11" s="335" t="s">
        <v>623</v>
      </c>
      <c r="G11" s="335"/>
      <c r="H11" s="331" t="str">
        <f>_xlfn.TEXTJOIN(", ", TRUE,IF(Public!$K$17="X","Retailer",""),IF(Public!$K$18="X","Distributor",""),IF(Public!$K$19="X","End User",""),IF(Public!$K$21="X","End User",""))</f>
        <v/>
      </c>
      <c r="I11" s="332" t="s">
        <v>564</v>
      </c>
      <c r="J11" s="361" t="s">
        <v>623</v>
      </c>
      <c r="K11" s="365" t="str">
        <f>Confirm!E44</f>
        <v>-</v>
      </c>
      <c r="L11" s="336" t="str">
        <f>Confirm!F44</f>
        <v>-</v>
      </c>
      <c r="M11" s="336" t="str">
        <f>Confirm!G44</f>
        <v>-</v>
      </c>
      <c r="N11" s="336" t="str">
        <f>Confirm!H44</f>
        <v>-</v>
      </c>
      <c r="O11" s="366" t="str">
        <f>Confirm!I44</f>
        <v>-</v>
      </c>
      <c r="V11" s="324"/>
      <c r="W11" s="329"/>
      <c r="X11" s="334"/>
      <c r="Y11" s="334"/>
      <c r="Z11" s="335"/>
      <c r="AA11" s="335"/>
      <c r="AB11" s="335"/>
      <c r="AC11" s="334"/>
      <c r="AD11" s="332"/>
      <c r="AE11" s="335"/>
      <c r="AF11" s="336"/>
      <c r="AG11" s="336"/>
      <c r="AH11" s="336"/>
      <c r="AI11" s="324"/>
      <c r="AJ11" s="324"/>
      <c r="AK11" s="324"/>
      <c r="AL11" s="324"/>
      <c r="AM11" s="324"/>
      <c r="AN11" s="324"/>
      <c r="AO11" s="324"/>
      <c r="AP11" s="324"/>
      <c r="AQ11" s="324"/>
      <c r="AR11" s="324"/>
      <c r="AS11" s="324"/>
      <c r="AT11" s="324"/>
      <c r="AU11" s="324"/>
      <c r="AV11" s="324"/>
      <c r="AW11" s="324"/>
    </row>
    <row r="12" spans="2:49" x14ac:dyDescent="0.3">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row>
    <row r="13" spans="2:49" x14ac:dyDescent="0.3">
      <c r="B13" s="479"/>
      <c r="C13" s="479"/>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row>
    <row r="14" spans="2:49" x14ac:dyDescent="0.3">
      <c r="B14" s="827" t="s">
        <v>630</v>
      </c>
      <c r="C14" s="828"/>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row>
    <row r="15" spans="2:49" ht="35.4" x14ac:dyDescent="0.3">
      <c r="B15" s="439" t="s">
        <v>631</v>
      </c>
      <c r="C15" s="440" t="s">
        <v>632</v>
      </c>
      <c r="D15" s="431" t="s">
        <v>633</v>
      </c>
      <c r="E15" s="431" t="s">
        <v>634</v>
      </c>
      <c r="F15" s="432" t="s">
        <v>635</v>
      </c>
      <c r="G15" s="432" t="s">
        <v>636</v>
      </c>
      <c r="H15" s="432" t="s">
        <v>637</v>
      </c>
      <c r="I15" s="431" t="s">
        <v>638</v>
      </c>
      <c r="J15" s="431" t="s">
        <v>639</v>
      </c>
      <c r="K15" s="433" t="s">
        <v>640</v>
      </c>
      <c r="L15" s="431" t="s">
        <v>641</v>
      </c>
      <c r="M15" s="434" t="s">
        <v>642</v>
      </c>
      <c r="N15" s="431" t="s">
        <v>643</v>
      </c>
      <c r="O15" s="431" t="s">
        <v>644</v>
      </c>
      <c r="P15" s="431" t="s">
        <v>645</v>
      </c>
      <c r="Q15" s="431" t="s">
        <v>646</v>
      </c>
      <c r="R15" s="435" t="s">
        <v>790</v>
      </c>
      <c r="S15" s="436" t="s">
        <v>791</v>
      </c>
      <c r="T15" s="436" t="s">
        <v>792</v>
      </c>
      <c r="U15" s="436" t="s">
        <v>769</v>
      </c>
      <c r="V15" s="436" t="s">
        <v>770</v>
      </c>
      <c r="W15" s="436" t="s">
        <v>647</v>
      </c>
      <c r="X15" s="437" t="s">
        <v>793</v>
      </c>
      <c r="Y15" s="437" t="s">
        <v>794</v>
      </c>
      <c r="Z15" s="437" t="s">
        <v>795</v>
      </c>
      <c r="AA15" s="437" t="s">
        <v>771</v>
      </c>
      <c r="AB15" s="438" t="s">
        <v>771</v>
      </c>
      <c r="AC15" s="341"/>
      <c r="AD15" s="342"/>
      <c r="AE15" s="342"/>
      <c r="AF15" s="342"/>
      <c r="AG15" s="341"/>
      <c r="AH15" s="341"/>
      <c r="AI15" s="343"/>
      <c r="AJ15" s="341"/>
      <c r="AK15" s="344"/>
      <c r="AL15" s="341"/>
      <c r="AM15" s="341"/>
      <c r="AN15" s="341"/>
      <c r="AO15" s="341"/>
      <c r="AP15" s="345"/>
      <c r="AQ15" s="345"/>
      <c r="AR15" s="345"/>
      <c r="AS15" s="345"/>
      <c r="AT15" s="346"/>
      <c r="AU15" s="346"/>
      <c r="AV15" s="346"/>
      <c r="AW15" s="324"/>
    </row>
    <row r="16" spans="2:49" s="302" customFormat="1" x14ac:dyDescent="0.3">
      <c r="B16" s="347">
        <f>Intro!$E$69</f>
        <v>0</v>
      </c>
      <c r="C16" s="347">
        <f>B16</f>
        <v>0</v>
      </c>
      <c r="D16" s="388" t="s">
        <v>648</v>
      </c>
      <c r="E16" s="493" t="str">
        <f>$H$6</f>
        <v/>
      </c>
      <c r="F16" s="347"/>
      <c r="G16" s="347"/>
      <c r="H16" s="347"/>
      <c r="I16" s="347" t="s">
        <v>649</v>
      </c>
      <c r="J16" s="347" t="s">
        <v>650</v>
      </c>
      <c r="K16" s="347" t="s">
        <v>651</v>
      </c>
      <c r="L16" s="347" t="s">
        <v>621</v>
      </c>
      <c r="M16" s="348"/>
      <c r="N16" s="347" t="s">
        <v>652</v>
      </c>
      <c r="O16" s="349" t="s">
        <v>653</v>
      </c>
      <c r="P16" s="350" t="s">
        <v>623</v>
      </c>
      <c r="Q16" s="480" t="s">
        <v>564</v>
      </c>
      <c r="R16" s="481">
        <f>'Imp-Exp1'!G27+'Imp-Exp2'!G27+'Imp-Exp3'!G27</f>
        <v>0</v>
      </c>
      <c r="S16" s="357">
        <f>'Imp-Exp1'!H27+'Imp-Exp2'!H27+'Imp-Exp3'!H27</f>
        <v>0</v>
      </c>
      <c r="T16" s="357">
        <f>'Imp-Exp1'!I27+'Imp-Exp2'!I27+'Imp-Exp3'!I27</f>
        <v>0</v>
      </c>
      <c r="U16" s="357">
        <f>'Imp-Exp1'!J27+'Imp-Exp2'!J27+'Imp-Exp3'!J27</f>
        <v>0</v>
      </c>
      <c r="V16" s="357">
        <f>'Imp-Exp1'!K27+'Imp-Exp2'!K27+'Imp-Exp3'!K27</f>
        <v>0</v>
      </c>
      <c r="W16" s="357"/>
      <c r="X16" s="357">
        <f>'Imp-Exp1'!G28+'Imp-Exp2'!G28+'Imp-Exp3'!G28/1000</f>
        <v>0</v>
      </c>
      <c r="Y16" s="357">
        <f>'Imp-Exp1'!H28+'Imp-Exp2'!H28+'Imp-Exp3'!H28/1000</f>
        <v>0</v>
      </c>
      <c r="Z16" s="357">
        <f>'Imp-Exp1'!I28+'Imp-Exp2'!I28+'Imp-Exp3'!I28/1000</f>
        <v>0</v>
      </c>
      <c r="AA16" s="357">
        <f>'Imp-Exp1'!J28+'Imp-Exp2'!J28+'Imp-Exp3'!J28/1000</f>
        <v>0</v>
      </c>
      <c r="AB16" s="357">
        <f>'Imp-Exp1'!K28+'Imp-Exp2'!K28+'Imp-Exp3'!K28/1000</f>
        <v>0</v>
      </c>
      <c r="AC16" s="347"/>
      <c r="AD16" s="347"/>
      <c r="AE16" s="347"/>
      <c r="AF16" s="347"/>
      <c r="AG16" s="347"/>
      <c r="AH16" s="347"/>
      <c r="AI16" s="347"/>
      <c r="AJ16" s="347"/>
      <c r="AK16" s="348"/>
      <c r="AL16" s="347"/>
      <c r="AM16" s="349"/>
      <c r="AN16" s="350"/>
      <c r="AO16" s="350"/>
      <c r="AP16" s="357"/>
      <c r="AQ16" s="357"/>
      <c r="AR16" s="357"/>
      <c r="AS16" s="357"/>
      <c r="AT16" s="357"/>
      <c r="AU16" s="357"/>
      <c r="AV16" s="357"/>
      <c r="AW16" s="357"/>
    </row>
    <row r="17" spans="2:49" x14ac:dyDescent="0.3">
      <c r="B17" s="351">
        <f>Intro!$E$69</f>
        <v>0</v>
      </c>
      <c r="C17" s="351">
        <f t="shared" ref="C17:C24" si="1">B17</f>
        <v>0</v>
      </c>
      <c r="D17" s="351" t="str">
        <f t="shared" ref="D17:E18" si="2">D16</f>
        <v>2 - Importer</v>
      </c>
      <c r="E17" s="351" t="str">
        <f t="shared" si="2"/>
        <v/>
      </c>
      <c r="F17" s="351"/>
      <c r="G17" s="351"/>
      <c r="H17" s="351"/>
      <c r="I17" s="351" t="s">
        <v>649</v>
      </c>
      <c r="J17" s="351" t="s">
        <v>650</v>
      </c>
      <c r="K17" s="351" t="s">
        <v>651</v>
      </c>
      <c r="L17" s="351" t="s">
        <v>621</v>
      </c>
      <c r="M17" s="352"/>
      <c r="N17" s="351" t="s">
        <v>652</v>
      </c>
      <c r="O17" s="353" t="s">
        <v>654</v>
      </c>
      <c r="P17" s="482" t="str">
        <f>J9</f>
        <v>End users  |  Utilisateurs finals</v>
      </c>
      <c r="Q17" s="480" t="s">
        <v>564</v>
      </c>
      <c r="R17" s="483">
        <f>'Imp-Exp1'!G31+'Imp-Exp2'!G31+'Imp-Exp3'!G31</f>
        <v>0</v>
      </c>
      <c r="S17" s="324">
        <f>'Imp-Exp1'!H31+'Imp-Exp2'!H31+'Imp-Exp3'!H31</f>
        <v>0</v>
      </c>
      <c r="T17" s="324">
        <f>'Imp-Exp1'!I31+'Imp-Exp2'!I31+'Imp-Exp3'!I31</f>
        <v>0</v>
      </c>
      <c r="U17" s="324">
        <f>'Imp-Exp1'!J31+'Imp-Exp2'!J31+'Imp-Exp3'!J31</f>
        <v>0</v>
      </c>
      <c r="V17" s="324">
        <f>'Imp-Exp1'!K31+'Imp-Exp2'!K31+'Imp-Exp3'!K31</f>
        <v>0</v>
      </c>
      <c r="W17" s="324"/>
      <c r="X17" s="324">
        <f>'Imp-Exp1'!G32+'Imp-Exp2'!G32+'Imp-Exp3'!G32/1000</f>
        <v>0</v>
      </c>
      <c r="Y17" s="324">
        <f>'Imp-Exp1'!H32+'Imp-Exp2'!H32+'Imp-Exp3'!H32/1000</f>
        <v>0</v>
      </c>
      <c r="Z17" s="324">
        <f>'Imp-Exp1'!I32+'Imp-Exp2'!I32+'Imp-Exp3'!I32/1000</f>
        <v>0</v>
      </c>
      <c r="AA17" s="324">
        <f>'Imp-Exp1'!J32+'Imp-Exp2'!J32+'Imp-Exp3'!J32/1000</f>
        <v>0</v>
      </c>
      <c r="AB17" s="324">
        <f>'Imp-Exp1'!K32+'Imp-Exp2'!K32+'Imp-Exp3'!K32/1000</f>
        <v>0</v>
      </c>
      <c r="AC17" s="351"/>
      <c r="AD17" s="351"/>
      <c r="AE17" s="351"/>
      <c r="AF17" s="351"/>
      <c r="AG17" s="351"/>
      <c r="AH17" s="351"/>
      <c r="AI17" s="351"/>
      <c r="AJ17" s="351"/>
      <c r="AK17" s="352"/>
      <c r="AL17" s="351"/>
      <c r="AM17" s="353"/>
      <c r="AN17" s="354"/>
      <c r="AO17" s="350"/>
      <c r="AP17" s="324"/>
      <c r="AQ17" s="324"/>
      <c r="AR17" s="324"/>
      <c r="AS17" s="324"/>
      <c r="AT17" s="324"/>
      <c r="AU17" s="324"/>
      <c r="AV17" s="324"/>
      <c r="AW17" s="324"/>
    </row>
    <row r="18" spans="2:49" ht="13.5" customHeight="1" x14ac:dyDescent="0.3">
      <c r="B18" s="351">
        <f>Intro!$E$69</f>
        <v>0</v>
      </c>
      <c r="C18" s="351">
        <f t="shared" si="1"/>
        <v>0</v>
      </c>
      <c r="D18" s="351" t="str">
        <f t="shared" si="2"/>
        <v>2 - Importer</v>
      </c>
      <c r="E18" s="351" t="str">
        <f>E17</f>
        <v/>
      </c>
      <c r="F18" s="351"/>
      <c r="G18" s="351"/>
      <c r="H18" s="351"/>
      <c r="I18" s="351" t="s">
        <v>649</v>
      </c>
      <c r="J18" s="351" t="s">
        <v>650</v>
      </c>
      <c r="K18" s="351" t="s">
        <v>651</v>
      </c>
      <c r="L18" s="351" t="s">
        <v>621</v>
      </c>
      <c r="M18" s="352"/>
      <c r="N18" s="351" t="s">
        <v>652</v>
      </c>
      <c r="O18" s="353" t="s">
        <v>654</v>
      </c>
      <c r="P18" s="482" t="str">
        <f>J10</f>
        <v>Others  |  Autres</v>
      </c>
      <c r="Q18" s="480" t="s">
        <v>564</v>
      </c>
      <c r="R18" s="483">
        <f>'Imp-Exp1'!G34+'Imp-Exp2'!G34+'Imp-Exp3'!G34</f>
        <v>0</v>
      </c>
      <c r="S18" s="324">
        <f>'Imp-Exp1'!H34+'Imp-Exp2'!H34+'Imp-Exp3'!H34</f>
        <v>0</v>
      </c>
      <c r="T18" s="324">
        <f>'Imp-Exp1'!I34+'Imp-Exp2'!I34+'Imp-Exp3'!I34</f>
        <v>0</v>
      </c>
      <c r="U18" s="324">
        <f>'Imp-Exp1'!J34+'Imp-Exp2'!J34+'Imp-Exp3'!J34</f>
        <v>0</v>
      </c>
      <c r="V18" s="324">
        <f>'Imp-Exp1'!K34+'Imp-Exp2'!K34+'Imp-Exp3'!K34</f>
        <v>0</v>
      </c>
      <c r="W18" s="324"/>
      <c r="X18" s="324">
        <f>'Imp-Exp1'!G35+'Imp-Exp2'!G35+'Imp-Exp3'!G35/1000</f>
        <v>0</v>
      </c>
      <c r="Y18" s="324">
        <f>'Imp-Exp1'!H35+'Imp-Exp2'!H35+'Imp-Exp3'!H35/1000</f>
        <v>0</v>
      </c>
      <c r="Z18" s="324">
        <f>'Imp-Exp1'!I35+'Imp-Exp2'!I35+'Imp-Exp3'!I35/1000</f>
        <v>0</v>
      </c>
      <c r="AA18" s="324">
        <f>'Imp-Exp1'!J35+'Imp-Exp2'!J35+'Imp-Exp3'!J35/1000</f>
        <v>0</v>
      </c>
      <c r="AB18" s="324">
        <f>'Imp-Exp1'!K35+'Imp-Exp2'!K35+'Imp-Exp3'!K35/1000</f>
        <v>0</v>
      </c>
      <c r="AC18" s="351"/>
      <c r="AD18" s="351"/>
      <c r="AE18" s="351"/>
      <c r="AF18" s="351"/>
      <c r="AG18" s="351"/>
      <c r="AH18" s="351"/>
      <c r="AI18" s="351"/>
      <c r="AJ18" s="351"/>
      <c r="AK18" s="352"/>
      <c r="AL18" s="351"/>
      <c r="AM18" s="353"/>
      <c r="AN18" s="354"/>
      <c r="AO18" s="350"/>
      <c r="AP18" s="324"/>
      <c r="AQ18" s="324"/>
      <c r="AR18" s="324"/>
      <c r="AS18" s="324"/>
      <c r="AT18" s="324"/>
      <c r="AU18" s="324"/>
      <c r="AV18" s="324"/>
      <c r="AW18" s="324"/>
    </row>
    <row r="19" spans="2:49" s="302" customFormat="1" x14ac:dyDescent="0.3">
      <c r="B19" s="347">
        <f>Intro!$E$69</f>
        <v>0</v>
      </c>
      <c r="C19" s="347">
        <f t="shared" si="1"/>
        <v>0</v>
      </c>
      <c r="D19" s="388" t="s">
        <v>648</v>
      </c>
      <c r="E19" s="347" t="str">
        <f>E16</f>
        <v/>
      </c>
      <c r="F19" s="347"/>
      <c r="G19" s="347"/>
      <c r="H19" s="347"/>
      <c r="I19" s="347" t="s">
        <v>655</v>
      </c>
      <c r="J19" s="347" t="s">
        <v>656</v>
      </c>
      <c r="K19" s="347" t="s">
        <v>657</v>
      </c>
      <c r="L19" s="347" t="s">
        <v>658</v>
      </c>
      <c r="M19" s="348"/>
      <c r="N19" s="347" t="s">
        <v>659</v>
      </c>
      <c r="O19" s="349" t="s">
        <v>653</v>
      </c>
      <c r="P19" s="350" t="s">
        <v>623</v>
      </c>
      <c r="Q19" s="480" t="s">
        <v>564</v>
      </c>
      <c r="R19" s="481">
        <f>'Imp-US'!G27</f>
        <v>0</v>
      </c>
      <c r="S19" s="357">
        <f>'Imp-US'!H27</f>
        <v>0</v>
      </c>
      <c r="T19" s="357">
        <f>'Imp-US'!I27</f>
        <v>0</v>
      </c>
      <c r="U19" s="357">
        <f>'Imp-US'!J27</f>
        <v>0</v>
      </c>
      <c r="V19" s="357">
        <f>'Imp-US'!K27</f>
        <v>0</v>
      </c>
      <c r="W19" s="357"/>
      <c r="X19" s="357">
        <f>'Imp-US'!G28/1000</f>
        <v>0</v>
      </c>
      <c r="Y19" s="357">
        <f>'Imp-US'!H28/1000</f>
        <v>0</v>
      </c>
      <c r="Z19" s="357">
        <f>'Imp-US'!I28/1000</f>
        <v>0</v>
      </c>
      <c r="AA19" s="357">
        <f>'Imp-US'!J28/1000</f>
        <v>0</v>
      </c>
      <c r="AB19" s="357">
        <f>'Imp-US'!K28/1000</f>
        <v>0</v>
      </c>
      <c r="AC19" s="347"/>
      <c r="AD19" s="347"/>
      <c r="AE19" s="347"/>
      <c r="AF19" s="347"/>
      <c r="AG19" s="347"/>
      <c r="AH19" s="347"/>
      <c r="AI19" s="347"/>
      <c r="AJ19" s="347"/>
      <c r="AK19" s="348"/>
      <c r="AL19" s="347"/>
      <c r="AM19" s="349"/>
      <c r="AN19" s="350"/>
      <c r="AO19" s="350"/>
      <c r="AP19" s="357"/>
      <c r="AQ19" s="357"/>
      <c r="AR19" s="357"/>
      <c r="AS19" s="357"/>
      <c r="AT19" s="357"/>
      <c r="AU19" s="357"/>
      <c r="AV19" s="357"/>
      <c r="AW19" s="357"/>
    </row>
    <row r="20" spans="2:49" x14ac:dyDescent="0.3">
      <c r="B20" s="351">
        <f>Intro!$E$69</f>
        <v>0</v>
      </c>
      <c r="C20" s="351">
        <f t="shared" si="1"/>
        <v>0</v>
      </c>
      <c r="D20" s="351" t="str">
        <f t="shared" ref="D20:E20" si="3">D19</f>
        <v>2 - Importer</v>
      </c>
      <c r="E20" s="351" t="str">
        <f t="shared" si="3"/>
        <v/>
      </c>
      <c r="F20" s="351"/>
      <c r="G20" s="351"/>
      <c r="H20" s="351"/>
      <c r="I20" s="351" t="s">
        <v>655</v>
      </c>
      <c r="J20" s="351" t="s">
        <v>656</v>
      </c>
      <c r="K20" s="351" t="s">
        <v>657</v>
      </c>
      <c r="L20" s="351" t="s">
        <v>658</v>
      </c>
      <c r="M20" s="352"/>
      <c r="N20" s="351" t="s">
        <v>659</v>
      </c>
      <c r="O20" s="353" t="s">
        <v>654</v>
      </c>
      <c r="P20" s="482" t="str">
        <f>P17</f>
        <v>End users  |  Utilisateurs finals</v>
      </c>
      <c r="Q20" s="480" t="s">
        <v>564</v>
      </c>
      <c r="R20" s="483">
        <f>'Imp-US'!G31</f>
        <v>0</v>
      </c>
      <c r="S20" s="324">
        <f>'Imp-US'!H31</f>
        <v>0</v>
      </c>
      <c r="T20" s="324">
        <f>'Imp-US'!I31</f>
        <v>0</v>
      </c>
      <c r="U20" s="324">
        <f>'Imp-US'!J31</f>
        <v>0</v>
      </c>
      <c r="V20" s="324">
        <f>'Imp-US'!K31</f>
        <v>0</v>
      </c>
      <c r="W20" s="324"/>
      <c r="X20" s="324">
        <f>'Imp-US'!G32/1000</f>
        <v>0</v>
      </c>
      <c r="Y20" s="324">
        <f>'Imp-US'!H32/1000</f>
        <v>0</v>
      </c>
      <c r="Z20" s="324">
        <f>'Imp-US'!I32/1000</f>
        <v>0</v>
      </c>
      <c r="AA20" s="324">
        <f>'Imp-US'!J32/1000</f>
        <v>0</v>
      </c>
      <c r="AB20" s="324">
        <f>'Imp-US'!K32/1000</f>
        <v>0</v>
      </c>
      <c r="AC20" s="351"/>
      <c r="AD20" s="351"/>
      <c r="AE20" s="351"/>
      <c r="AF20" s="351"/>
      <c r="AG20" s="351"/>
      <c r="AH20" s="351"/>
      <c r="AI20" s="351"/>
      <c r="AJ20" s="351"/>
      <c r="AK20" s="352"/>
      <c r="AL20" s="351"/>
      <c r="AM20" s="353"/>
      <c r="AN20" s="354"/>
      <c r="AO20" s="350"/>
      <c r="AP20" s="324"/>
      <c r="AQ20" s="324"/>
      <c r="AR20" s="324"/>
      <c r="AS20" s="324"/>
      <c r="AT20" s="324"/>
      <c r="AU20" s="324"/>
      <c r="AV20" s="324"/>
      <c r="AW20" s="324"/>
    </row>
    <row r="21" spans="2:49" x14ac:dyDescent="0.3">
      <c r="B21" s="351">
        <f>Intro!$E$69</f>
        <v>0</v>
      </c>
      <c r="C21" s="351">
        <f t="shared" si="1"/>
        <v>0</v>
      </c>
      <c r="D21" s="351" t="str">
        <f>D20</f>
        <v>2 - Importer</v>
      </c>
      <c r="E21" s="351" t="str">
        <f>E20</f>
        <v/>
      </c>
      <c r="F21" s="351"/>
      <c r="G21" s="351"/>
      <c r="H21" s="351"/>
      <c r="I21" s="351" t="s">
        <v>655</v>
      </c>
      <c r="J21" s="351" t="s">
        <v>656</v>
      </c>
      <c r="K21" s="351" t="s">
        <v>657</v>
      </c>
      <c r="L21" s="351" t="s">
        <v>658</v>
      </c>
      <c r="M21" s="352"/>
      <c r="N21" s="351" t="s">
        <v>659</v>
      </c>
      <c r="O21" s="353" t="s">
        <v>654</v>
      </c>
      <c r="P21" s="482" t="str">
        <f>P18</f>
        <v>Others  |  Autres</v>
      </c>
      <c r="Q21" s="480" t="s">
        <v>564</v>
      </c>
      <c r="R21" s="483">
        <f>'Imp-US'!G34</f>
        <v>0</v>
      </c>
      <c r="S21" s="324">
        <f>'Imp-US'!H34</f>
        <v>0</v>
      </c>
      <c r="T21" s="324">
        <f>'Imp-US'!I34</f>
        <v>0</v>
      </c>
      <c r="U21" s="324">
        <f>'Imp-US'!J34</f>
        <v>0</v>
      </c>
      <c r="V21" s="324">
        <f>'Imp-US'!K34</f>
        <v>0</v>
      </c>
      <c r="W21" s="324"/>
      <c r="X21" s="324">
        <f>'Imp-US'!G35/1000</f>
        <v>0</v>
      </c>
      <c r="Y21" s="324">
        <f>'Imp-US'!H35/1000</f>
        <v>0</v>
      </c>
      <c r="Z21" s="324">
        <f>'Imp-US'!I35/1000</f>
        <v>0</v>
      </c>
      <c r="AA21" s="324">
        <f>'Imp-US'!J35/1000</f>
        <v>0</v>
      </c>
      <c r="AB21" s="324">
        <f>'Imp-US'!K35/1000</f>
        <v>0</v>
      </c>
      <c r="AC21" s="351"/>
      <c r="AD21" s="351"/>
      <c r="AE21" s="351"/>
      <c r="AF21" s="351"/>
      <c r="AG21" s="351"/>
      <c r="AH21" s="351"/>
      <c r="AI21" s="351"/>
      <c r="AJ21" s="351"/>
      <c r="AK21" s="352"/>
      <c r="AL21" s="351"/>
      <c r="AM21" s="353"/>
      <c r="AN21" s="354"/>
      <c r="AO21" s="350"/>
      <c r="AP21" s="324"/>
      <c r="AQ21" s="324"/>
      <c r="AR21" s="324"/>
      <c r="AS21" s="324"/>
      <c r="AT21" s="324"/>
      <c r="AU21" s="324"/>
      <c r="AV21" s="324"/>
      <c r="AW21" s="324"/>
    </row>
    <row r="22" spans="2:49" s="302" customFormat="1" x14ac:dyDescent="0.3">
      <c r="B22" s="347">
        <f>Intro!$E$69</f>
        <v>0</v>
      </c>
      <c r="C22" s="347">
        <f t="shared" si="1"/>
        <v>0</v>
      </c>
      <c r="D22" s="347" t="s">
        <v>648</v>
      </c>
      <c r="E22" s="347" t="str">
        <f>E16</f>
        <v/>
      </c>
      <c r="F22" s="347"/>
      <c r="G22" s="347"/>
      <c r="H22" s="347"/>
      <c r="I22" s="347" t="s">
        <v>768</v>
      </c>
      <c r="J22" s="347" t="s">
        <v>656</v>
      </c>
      <c r="K22" s="347" t="s">
        <v>657</v>
      </c>
      <c r="L22" s="355" t="s">
        <v>626</v>
      </c>
      <c r="M22" s="356">
        <f>'Imp-Other-Autre'!D23</f>
        <v>0</v>
      </c>
      <c r="N22" s="347" t="s">
        <v>659</v>
      </c>
      <c r="O22" s="349" t="s">
        <v>653</v>
      </c>
      <c r="P22" s="347" t="s">
        <v>623</v>
      </c>
      <c r="Q22" s="480" t="s">
        <v>564</v>
      </c>
      <c r="R22" s="481">
        <f>'Imp-Other-Autre'!G27</f>
        <v>0</v>
      </c>
      <c r="S22" s="357">
        <f>'Imp-Other-Autre'!H27</f>
        <v>0</v>
      </c>
      <c r="T22" s="357">
        <f>'Imp-Other-Autre'!I27</f>
        <v>0</v>
      </c>
      <c r="U22" s="357">
        <f>'Imp-Other-Autre'!J27</f>
        <v>0</v>
      </c>
      <c r="V22" s="357">
        <f>'Imp-Other-Autre'!K27</f>
        <v>0</v>
      </c>
      <c r="W22" s="357"/>
      <c r="X22" s="357">
        <f>'Imp-Other-Autre'!G28/1000</f>
        <v>0</v>
      </c>
      <c r="Y22" s="357">
        <f>'Imp-Other-Autre'!H28/1000</f>
        <v>0</v>
      </c>
      <c r="Z22" s="357">
        <f>'Imp-Other-Autre'!I28/1000</f>
        <v>0</v>
      </c>
      <c r="AA22" s="357">
        <f>'Imp-Other-Autre'!J28/1000</f>
        <v>0</v>
      </c>
      <c r="AB22" s="357">
        <f>'Imp-Other-Autre'!K28/1000</f>
        <v>0</v>
      </c>
      <c r="AC22" s="347"/>
      <c r="AD22" s="347"/>
      <c r="AE22" s="347"/>
      <c r="AF22" s="347"/>
      <c r="AG22" s="347"/>
      <c r="AH22" s="347"/>
      <c r="AI22" s="347"/>
      <c r="AJ22" s="355"/>
      <c r="AK22" s="356"/>
      <c r="AL22" s="347"/>
      <c r="AM22" s="349"/>
      <c r="AN22" s="347"/>
      <c r="AO22" s="350"/>
      <c r="AP22" s="357"/>
      <c r="AQ22" s="357"/>
      <c r="AR22" s="357"/>
      <c r="AS22" s="357"/>
      <c r="AT22" s="357"/>
      <c r="AU22" s="357"/>
      <c r="AV22" s="357"/>
      <c r="AW22" s="357"/>
    </row>
    <row r="23" spans="2:49" x14ac:dyDescent="0.3">
      <c r="B23" s="351">
        <f>Intro!$E$69</f>
        <v>0</v>
      </c>
      <c r="C23" s="351">
        <f t="shared" si="1"/>
        <v>0</v>
      </c>
      <c r="D23" s="351" t="str">
        <f t="shared" ref="D23:E24" si="4">D22</f>
        <v>2 - Importer</v>
      </c>
      <c r="E23" s="351" t="str">
        <f t="shared" si="4"/>
        <v/>
      </c>
      <c r="F23" s="351"/>
      <c r="G23" s="351"/>
      <c r="H23" s="351"/>
      <c r="I23" s="351" t="s">
        <v>768</v>
      </c>
      <c r="J23" s="351" t="s">
        <v>656</v>
      </c>
      <c r="K23" s="351" t="s">
        <v>657</v>
      </c>
      <c r="L23" s="358" t="s">
        <v>626</v>
      </c>
      <c r="M23" s="359">
        <f>'Imp-Other-Autre'!D23</f>
        <v>0</v>
      </c>
      <c r="N23" s="351" t="s">
        <v>659</v>
      </c>
      <c r="O23" s="353" t="s">
        <v>654</v>
      </c>
      <c r="P23" s="484" t="str">
        <f>P17</f>
        <v>End users  |  Utilisateurs finals</v>
      </c>
      <c r="Q23" s="480" t="s">
        <v>564</v>
      </c>
      <c r="R23" s="483">
        <f>'Imp-Other-Autre'!G31</f>
        <v>0</v>
      </c>
      <c r="S23" s="324">
        <f>'Imp-Other-Autre'!H31</f>
        <v>0</v>
      </c>
      <c r="T23" s="324">
        <f>'Imp-Other-Autre'!I31</f>
        <v>0</v>
      </c>
      <c r="U23" s="324">
        <f>'Imp-Other-Autre'!J31</f>
        <v>0</v>
      </c>
      <c r="V23" s="324">
        <f>'Imp-Other-Autre'!K31</f>
        <v>0</v>
      </c>
      <c r="W23" s="324"/>
      <c r="X23" s="324">
        <f>'Imp-Other-Autre'!G32/1000</f>
        <v>0</v>
      </c>
      <c r="Y23" s="324">
        <f>'Imp-Other-Autre'!H32/1000</f>
        <v>0</v>
      </c>
      <c r="Z23" s="324">
        <f>'Imp-Other-Autre'!I32/1000</f>
        <v>0</v>
      </c>
      <c r="AA23" s="324">
        <f>'Imp-Other-Autre'!J32/1000</f>
        <v>0</v>
      </c>
      <c r="AB23" s="324">
        <f>'Imp-Other-Autre'!K32/1000</f>
        <v>0</v>
      </c>
      <c r="AC23" s="351"/>
      <c r="AD23" s="351"/>
      <c r="AE23" s="351"/>
      <c r="AF23" s="351"/>
      <c r="AG23" s="351"/>
      <c r="AH23" s="351"/>
      <c r="AI23" s="351"/>
      <c r="AJ23" s="358"/>
      <c r="AK23" s="359"/>
      <c r="AL23" s="351"/>
      <c r="AM23" s="353"/>
      <c r="AN23" s="351"/>
      <c r="AO23" s="350"/>
      <c r="AP23" s="324"/>
      <c r="AQ23" s="324"/>
      <c r="AR23" s="324"/>
      <c r="AS23" s="324"/>
      <c r="AT23" s="324"/>
      <c r="AU23" s="324"/>
      <c r="AV23" s="324"/>
      <c r="AW23" s="324"/>
    </row>
    <row r="24" spans="2:49" x14ac:dyDescent="0.3">
      <c r="B24" s="351">
        <f>Intro!$E$69</f>
        <v>0</v>
      </c>
      <c r="C24" s="351">
        <f t="shared" si="1"/>
        <v>0</v>
      </c>
      <c r="D24" s="351" t="str">
        <f t="shared" si="4"/>
        <v>2 - Importer</v>
      </c>
      <c r="E24" s="351" t="str">
        <f>E23</f>
        <v/>
      </c>
      <c r="F24" s="351"/>
      <c r="G24" s="351"/>
      <c r="H24" s="351"/>
      <c r="I24" s="351" t="s">
        <v>768</v>
      </c>
      <c r="J24" s="351" t="s">
        <v>656</v>
      </c>
      <c r="K24" s="351" t="s">
        <v>657</v>
      </c>
      <c r="L24" s="358" t="s">
        <v>626</v>
      </c>
      <c r="M24" s="359">
        <f>'Imp-Other-Autre'!D23</f>
        <v>0</v>
      </c>
      <c r="N24" s="351" t="s">
        <v>659</v>
      </c>
      <c r="O24" s="353" t="s">
        <v>654</v>
      </c>
      <c r="P24" s="484" t="str">
        <f>P18</f>
        <v>Others  |  Autres</v>
      </c>
      <c r="Q24" s="480" t="s">
        <v>564</v>
      </c>
      <c r="R24" s="483">
        <f>'Imp-Other-Autre'!G34</f>
        <v>0</v>
      </c>
      <c r="S24" s="324">
        <f>'Imp-Other-Autre'!H34</f>
        <v>0</v>
      </c>
      <c r="T24" s="324">
        <f>'Imp-Other-Autre'!I34</f>
        <v>0</v>
      </c>
      <c r="U24" s="324">
        <f>'Imp-Other-Autre'!J34</f>
        <v>0</v>
      </c>
      <c r="V24" s="324">
        <f>'Imp-Other-Autre'!K34</f>
        <v>0</v>
      </c>
      <c r="W24" s="324"/>
      <c r="X24" s="324">
        <f>'Imp-Other-Autre'!G35/1000</f>
        <v>0</v>
      </c>
      <c r="Y24" s="324">
        <f>'Imp-Other-Autre'!H35/1000</f>
        <v>0</v>
      </c>
      <c r="Z24" s="324">
        <f>'Imp-Other-Autre'!I35/1000</f>
        <v>0</v>
      </c>
      <c r="AA24" s="324">
        <f>'Imp-Other-Autre'!J35/1000</f>
        <v>0</v>
      </c>
      <c r="AB24" s="324">
        <f>'Imp-Other-Autre'!K35/1000</f>
        <v>0</v>
      </c>
      <c r="AC24" s="351"/>
      <c r="AD24" s="351"/>
      <c r="AE24" s="351"/>
      <c r="AF24" s="351"/>
      <c r="AG24" s="351"/>
      <c r="AH24" s="351"/>
      <c r="AI24" s="351"/>
      <c r="AJ24" s="358"/>
      <c r="AK24" s="359"/>
      <c r="AL24" s="351"/>
      <c r="AM24" s="353"/>
      <c r="AN24" s="351"/>
      <c r="AO24" s="350"/>
      <c r="AP24" s="324"/>
      <c r="AQ24" s="324"/>
      <c r="AR24" s="324"/>
      <c r="AS24" s="324"/>
      <c r="AT24" s="324"/>
      <c r="AU24" s="324"/>
      <c r="AV24" s="324"/>
      <c r="AW24" s="324"/>
    </row>
    <row r="25" spans="2:49" x14ac:dyDescent="0.3">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row>
    <row r="26" spans="2:49" x14ac:dyDescent="0.3">
      <c r="B26" s="479"/>
      <c r="C26" s="479"/>
    </row>
    <row r="27" spans="2:49" x14ac:dyDescent="0.3">
      <c r="B27" s="827" t="s">
        <v>660</v>
      </c>
      <c r="C27" s="828"/>
      <c r="Z27">
        <v>1000</v>
      </c>
    </row>
    <row r="28" spans="2:49" ht="46.5" customHeight="1" x14ac:dyDescent="0.3">
      <c r="B28" s="489" t="s">
        <v>631</v>
      </c>
      <c r="C28" s="401" t="s">
        <v>661</v>
      </c>
      <c r="D28" s="428" t="s">
        <v>633</v>
      </c>
      <c r="E28" s="428" t="s">
        <v>634</v>
      </c>
      <c r="F28" s="429" t="s">
        <v>662</v>
      </c>
      <c r="G28" s="429" t="s">
        <v>636</v>
      </c>
      <c r="H28" s="429" t="s">
        <v>637</v>
      </c>
      <c r="I28" s="428" t="s">
        <v>638</v>
      </c>
      <c r="J28" s="428" t="s">
        <v>639</v>
      </c>
      <c r="K28" s="430" t="s">
        <v>640</v>
      </c>
      <c r="L28" s="428" t="s">
        <v>641</v>
      </c>
      <c r="M28" s="428" t="s">
        <v>642</v>
      </c>
      <c r="N28" s="428" t="s">
        <v>643</v>
      </c>
      <c r="O28" s="428" t="s">
        <v>663</v>
      </c>
      <c r="P28" s="428" t="s">
        <v>664</v>
      </c>
      <c r="Q28" s="428" t="s">
        <v>644</v>
      </c>
      <c r="R28" s="425" t="s">
        <v>665</v>
      </c>
      <c r="S28" s="425" t="s">
        <v>666</v>
      </c>
      <c r="T28" s="425" t="s">
        <v>667</v>
      </c>
      <c r="U28" s="425" t="s">
        <v>668</v>
      </c>
      <c r="V28" s="425" t="s">
        <v>669</v>
      </c>
      <c r="W28" s="425" t="s">
        <v>670</v>
      </c>
      <c r="X28" s="425" t="s">
        <v>671</v>
      </c>
      <c r="Y28" s="425" t="s">
        <v>772</v>
      </c>
      <c r="Z28" s="425" t="s">
        <v>672</v>
      </c>
      <c r="AA28" s="425" t="s">
        <v>673</v>
      </c>
      <c r="AB28" s="425" t="s">
        <v>674</v>
      </c>
      <c r="AC28" s="425" t="s">
        <v>675</v>
      </c>
      <c r="AD28" s="425" t="s">
        <v>676</v>
      </c>
      <c r="AE28" s="425" t="s">
        <v>677</v>
      </c>
      <c r="AF28" s="425" t="s">
        <v>678</v>
      </c>
      <c r="AG28" s="425" t="s">
        <v>772</v>
      </c>
    </row>
    <row r="29" spans="2:49" s="302" customFormat="1" x14ac:dyDescent="0.3">
      <c r="B29" s="387">
        <f>$B$16</f>
        <v>0</v>
      </c>
      <c r="C29" s="387">
        <f>$B$16</f>
        <v>0</v>
      </c>
      <c r="D29" s="387" t="s">
        <v>648</v>
      </c>
      <c r="E29" s="387" t="str">
        <f>$E$16</f>
        <v/>
      </c>
      <c r="F29" s="388"/>
      <c r="G29" s="388"/>
      <c r="H29" s="388"/>
      <c r="I29" s="387" t="s">
        <v>649</v>
      </c>
      <c r="J29" s="387" t="s">
        <v>650</v>
      </c>
      <c r="K29" s="387" t="s">
        <v>651</v>
      </c>
      <c r="L29" s="387" t="s">
        <v>621</v>
      </c>
      <c r="M29" s="387" t="s">
        <v>623</v>
      </c>
      <c r="N29" s="387" t="s">
        <v>652</v>
      </c>
      <c r="O29" s="387" t="str">
        <f>'Imp-Exp1'!B141</f>
        <v>SAG Balls - 5.0" (125mm) within a 5% tolerance</v>
      </c>
      <c r="P29" s="387" t="s">
        <v>679</v>
      </c>
      <c r="Q29" s="387" t="s">
        <v>653</v>
      </c>
      <c r="R29" s="399">
        <f>'Imp-Exp1'!E143</f>
        <v>0</v>
      </c>
      <c r="S29" s="389">
        <f>'Imp-Exp1'!F143</f>
        <v>0</v>
      </c>
      <c r="T29" s="389">
        <f>'Imp-Exp1'!G143</f>
        <v>0</v>
      </c>
      <c r="U29" s="389">
        <f>'Imp-Exp1'!H143</f>
        <v>0</v>
      </c>
      <c r="V29" s="389">
        <f>'Imp-Exp1'!I143</f>
        <v>0</v>
      </c>
      <c r="W29" s="389">
        <f>'Imp-Exp1'!J143</f>
        <v>0</v>
      </c>
      <c r="X29" s="389">
        <f>'Imp-Exp1'!K143</f>
        <v>0</v>
      </c>
      <c r="Y29" s="389">
        <f>'Imp-Exp1'!L143</f>
        <v>0</v>
      </c>
      <c r="Z29" s="397">
        <f>'Imp-Exp1'!E144/$Z$27</f>
        <v>0</v>
      </c>
      <c r="AA29" s="389">
        <f>'Imp-Exp1'!F144/$Z$27</f>
        <v>0</v>
      </c>
      <c r="AB29" s="389">
        <f>'Imp-Exp1'!G144/$Z$27</f>
        <v>0</v>
      </c>
      <c r="AC29" s="389">
        <f>'Imp-Exp1'!H144/$Z$27</f>
        <v>0</v>
      </c>
      <c r="AD29" s="389">
        <f>'Imp-Exp1'!I144/$Z$27</f>
        <v>0</v>
      </c>
      <c r="AE29" s="389">
        <f>'Imp-Exp1'!J144/$Z$27</f>
        <v>0</v>
      </c>
      <c r="AF29" s="389">
        <f>'Imp-Exp1'!K144/$Z$27</f>
        <v>0</v>
      </c>
      <c r="AG29" s="395">
        <f>'Imp-Exp1'!L144/$Z$27</f>
        <v>0</v>
      </c>
    </row>
    <row r="30" spans="2:49" x14ac:dyDescent="0.3">
      <c r="B30" s="387">
        <f t="shared" ref="B30:C56" si="5">$B$16</f>
        <v>0</v>
      </c>
      <c r="C30" s="387">
        <f t="shared" si="5"/>
        <v>0</v>
      </c>
      <c r="D30" s="390" t="s">
        <v>648</v>
      </c>
      <c r="E30" s="387" t="str">
        <f t="shared" ref="E30:E78" si="6">$E$16</f>
        <v/>
      </c>
      <c r="F30" s="391"/>
      <c r="G30" s="391"/>
      <c r="H30" s="391"/>
      <c r="I30" s="390" t="s">
        <v>649</v>
      </c>
      <c r="J30" s="390" t="s">
        <v>650</v>
      </c>
      <c r="K30" s="390" t="s">
        <v>651</v>
      </c>
      <c r="L30" s="390" t="s">
        <v>621</v>
      </c>
      <c r="M30" s="390" t="s">
        <v>623</v>
      </c>
      <c r="N30" s="390" t="s">
        <v>652</v>
      </c>
      <c r="O30" s="390" t="str">
        <f>'Imp-Exp1'!B146</f>
        <v>SAG Balls - 5.25" (133mm) within a 5% tolerance</v>
      </c>
      <c r="P30" s="390" t="s">
        <v>680</v>
      </c>
      <c r="Q30" s="390" t="s">
        <v>653</v>
      </c>
      <c r="R30" s="400">
        <f>'Imp-Exp1'!E148</f>
        <v>0</v>
      </c>
      <c r="S30" s="392">
        <f>'Imp-Exp1'!F148</f>
        <v>0</v>
      </c>
      <c r="T30" s="392">
        <f>'Imp-Exp1'!G148</f>
        <v>0</v>
      </c>
      <c r="U30" s="392">
        <f>'Imp-Exp1'!H148</f>
        <v>0</v>
      </c>
      <c r="V30" s="392">
        <f>'Imp-Exp1'!I148</f>
        <v>0</v>
      </c>
      <c r="W30" s="392">
        <f>'Imp-Exp1'!J148</f>
        <v>0</v>
      </c>
      <c r="X30" s="392">
        <f>'Imp-Exp1'!K148</f>
        <v>0</v>
      </c>
      <c r="Y30" s="392">
        <f>'Imp-Exp1'!L148</f>
        <v>0</v>
      </c>
      <c r="Z30" s="398">
        <f>'Imp-Exp1'!E149/$Z$27</f>
        <v>0</v>
      </c>
      <c r="AA30" s="392">
        <f>'Imp-Exp1'!F149/$Z$27</f>
        <v>0</v>
      </c>
      <c r="AB30" s="392">
        <f>'Imp-Exp1'!G149/$Z$27</f>
        <v>0</v>
      </c>
      <c r="AC30" s="392">
        <f>'Imp-Exp1'!H149/$Z$27</f>
        <v>0</v>
      </c>
      <c r="AD30" s="392">
        <f>'Imp-Exp1'!I149/$Z$27</f>
        <v>0</v>
      </c>
      <c r="AE30" s="392">
        <f>'Imp-Exp1'!J149/$Z$27</f>
        <v>0</v>
      </c>
      <c r="AF30" s="392">
        <f>'Imp-Exp1'!K149/$Z$27</f>
        <v>0</v>
      </c>
      <c r="AG30" s="396">
        <f>'Imp-Exp1'!L149/$Z$27</f>
        <v>0</v>
      </c>
    </row>
    <row r="31" spans="2:49" x14ac:dyDescent="0.3">
      <c r="B31" s="387">
        <f t="shared" si="5"/>
        <v>0</v>
      </c>
      <c r="C31" s="387">
        <f t="shared" si="5"/>
        <v>0</v>
      </c>
      <c r="D31" s="390" t="s">
        <v>648</v>
      </c>
      <c r="E31" s="387" t="str">
        <f t="shared" si="6"/>
        <v/>
      </c>
      <c r="F31" s="391"/>
      <c r="G31" s="391"/>
      <c r="H31" s="391"/>
      <c r="I31" s="390" t="s">
        <v>649</v>
      </c>
      <c r="J31" s="390" t="s">
        <v>650</v>
      </c>
      <c r="K31" s="390" t="s">
        <v>651</v>
      </c>
      <c r="L31" s="390" t="s">
        <v>621</v>
      </c>
      <c r="M31" s="390" t="s">
        <v>623</v>
      </c>
      <c r="N31" s="390" t="s">
        <v>652</v>
      </c>
      <c r="O31" s="390" t="str">
        <f>'Imp-Exp1'!B151</f>
        <v>Mid-size Balls - 2.5" (65mm) within a 5% tolerance</v>
      </c>
      <c r="P31" s="390" t="s">
        <v>681</v>
      </c>
      <c r="Q31" s="390" t="s">
        <v>653</v>
      </c>
      <c r="R31" s="400">
        <f>'Imp-Exp1'!E153</f>
        <v>0</v>
      </c>
      <c r="S31" s="392">
        <f>'Imp-Exp1'!F153</f>
        <v>0</v>
      </c>
      <c r="T31" s="392">
        <f>'Imp-Exp1'!G153</f>
        <v>0</v>
      </c>
      <c r="U31" s="392">
        <f>'Imp-Exp1'!H153</f>
        <v>0</v>
      </c>
      <c r="V31" s="392">
        <f>'Imp-Exp1'!I153</f>
        <v>0</v>
      </c>
      <c r="W31" s="392">
        <f>'Imp-Exp1'!J153</f>
        <v>0</v>
      </c>
      <c r="X31" s="392">
        <f>'Imp-Exp1'!K153</f>
        <v>0</v>
      </c>
      <c r="Y31" s="392">
        <f>'Imp-Exp1'!L153</f>
        <v>0</v>
      </c>
      <c r="Z31" s="398">
        <f>'Imp-Exp1'!E154/$Z$27</f>
        <v>0</v>
      </c>
      <c r="AA31" s="392">
        <f>'Imp-Exp1'!F154/$Z$27</f>
        <v>0</v>
      </c>
      <c r="AB31" s="392">
        <f>'Imp-Exp1'!G154/$Z$27</f>
        <v>0</v>
      </c>
      <c r="AC31" s="392">
        <f>'Imp-Exp1'!H154/$Z$27</f>
        <v>0</v>
      </c>
      <c r="AD31" s="392">
        <f>'Imp-Exp1'!I154/$Z$27</f>
        <v>0</v>
      </c>
      <c r="AE31" s="392">
        <f>'Imp-Exp1'!J154/$Z$27</f>
        <v>0</v>
      </c>
      <c r="AF31" s="392">
        <f>'Imp-Exp1'!K154/$Z$27</f>
        <v>0</v>
      </c>
      <c r="AG31" s="396">
        <f>'Imp-Exp1'!L154/$Z$27</f>
        <v>0</v>
      </c>
    </row>
    <row r="32" spans="2:49" x14ac:dyDescent="0.3">
      <c r="B32" s="387">
        <f t="shared" si="5"/>
        <v>0</v>
      </c>
      <c r="C32" s="387">
        <f t="shared" si="5"/>
        <v>0</v>
      </c>
      <c r="D32" s="390" t="s">
        <v>648</v>
      </c>
      <c r="E32" s="387" t="str">
        <f t="shared" si="6"/>
        <v/>
      </c>
      <c r="F32" s="391"/>
      <c r="G32" s="391"/>
      <c r="H32" s="391"/>
      <c r="I32" s="390" t="s">
        <v>649</v>
      </c>
      <c r="J32" s="390" t="s">
        <v>650</v>
      </c>
      <c r="K32" s="390" t="s">
        <v>651</v>
      </c>
      <c r="L32" s="390" t="s">
        <v>621</v>
      </c>
      <c r="M32" s="390" t="s">
        <v>623</v>
      </c>
      <c r="N32" s="390" t="s">
        <v>652</v>
      </c>
      <c r="O32" s="390" t="str">
        <f>'Imp-Exp1'!B156</f>
        <v>Mid-size Balls - 3.5" (94mm) within a 5% tolerance</v>
      </c>
      <c r="P32" s="390" t="s">
        <v>682</v>
      </c>
      <c r="Q32" s="390" t="s">
        <v>653</v>
      </c>
      <c r="R32" s="400">
        <f>'Imp-Exp1'!E158</f>
        <v>0</v>
      </c>
      <c r="S32" s="392">
        <f>'Imp-Exp1'!F158</f>
        <v>0</v>
      </c>
      <c r="T32" s="392">
        <f>'Imp-Exp1'!G158</f>
        <v>0</v>
      </c>
      <c r="U32" s="392">
        <f>'Imp-Exp1'!H158</f>
        <v>0</v>
      </c>
      <c r="V32" s="392">
        <f>'Imp-Exp1'!I158</f>
        <v>0</v>
      </c>
      <c r="W32" s="392">
        <f>'Imp-Exp1'!J158</f>
        <v>0</v>
      </c>
      <c r="X32" s="392">
        <f>'Imp-Exp1'!K158</f>
        <v>0</v>
      </c>
      <c r="Y32" s="392">
        <f>'Imp-Exp1'!L158</f>
        <v>0</v>
      </c>
      <c r="Z32" s="398">
        <f>'Imp-Exp1'!E159/$Z$27</f>
        <v>0</v>
      </c>
      <c r="AA32" s="392">
        <f>'Imp-Exp1'!F159/$Z$27</f>
        <v>0</v>
      </c>
      <c r="AB32" s="392">
        <f>'Imp-Exp1'!G159/$Z$27</f>
        <v>0</v>
      </c>
      <c r="AC32" s="392">
        <f>'Imp-Exp1'!H159/$Z$27</f>
        <v>0</v>
      </c>
      <c r="AD32" s="392">
        <f>'Imp-Exp1'!I159/$Z$27</f>
        <v>0</v>
      </c>
      <c r="AE32" s="392">
        <f>'Imp-Exp1'!J159/$Z$27</f>
        <v>0</v>
      </c>
      <c r="AF32" s="392">
        <f>'Imp-Exp1'!K159/$Z$27</f>
        <v>0</v>
      </c>
      <c r="AG32" s="396">
        <f>'Imp-Exp1'!L159/$Z$27</f>
        <v>0</v>
      </c>
    </row>
    <row r="33" spans="2:33" x14ac:dyDescent="0.3">
      <c r="B33" s="387">
        <f t="shared" si="5"/>
        <v>0</v>
      </c>
      <c r="C33" s="387">
        <f t="shared" si="5"/>
        <v>0</v>
      </c>
      <c r="D33" s="390" t="s">
        <v>648</v>
      </c>
      <c r="E33" s="387" t="str">
        <f t="shared" si="6"/>
        <v/>
      </c>
      <c r="F33" s="391"/>
      <c r="G33" s="391"/>
      <c r="H33" s="391"/>
      <c r="I33" s="390" t="s">
        <v>649</v>
      </c>
      <c r="J33" s="390" t="s">
        <v>650</v>
      </c>
      <c r="K33" s="390" t="s">
        <v>651</v>
      </c>
      <c r="L33" s="390" t="s">
        <v>621</v>
      </c>
      <c r="M33" s="390" t="s">
        <v>623</v>
      </c>
      <c r="N33" s="390" t="s">
        <v>652</v>
      </c>
      <c r="O33" s="390" t="str">
        <f>'Imp-Exp1'!B161</f>
        <v>Regrind Balls - 1.0" (25mm) within a 5% tolerance</v>
      </c>
      <c r="P33" s="390" t="s">
        <v>683</v>
      </c>
      <c r="Q33" s="390" t="s">
        <v>653</v>
      </c>
      <c r="R33" s="400">
        <f>'Imp-Exp1'!E163</f>
        <v>0</v>
      </c>
      <c r="S33" s="392">
        <f>'Imp-Exp1'!F163</f>
        <v>0</v>
      </c>
      <c r="T33" s="392">
        <f>'Imp-Exp1'!G163</f>
        <v>0</v>
      </c>
      <c r="U33" s="392">
        <f>'Imp-Exp1'!H163</f>
        <v>0</v>
      </c>
      <c r="V33" s="392">
        <f>'Imp-Exp1'!I163</f>
        <v>0</v>
      </c>
      <c r="W33" s="392">
        <f>'Imp-Exp1'!J163</f>
        <v>0</v>
      </c>
      <c r="X33" s="392">
        <f>'Imp-Exp1'!K163</f>
        <v>0</v>
      </c>
      <c r="Y33" s="392">
        <f>'Imp-Exp1'!L163</f>
        <v>0</v>
      </c>
      <c r="Z33" s="398">
        <f>'Imp-Exp1'!E164/$Z$27</f>
        <v>0</v>
      </c>
      <c r="AA33" s="392">
        <f>'Imp-Exp1'!F164/$Z$27</f>
        <v>0</v>
      </c>
      <c r="AB33" s="392">
        <f>'Imp-Exp1'!G164/$Z$27</f>
        <v>0</v>
      </c>
      <c r="AC33" s="392">
        <f>'Imp-Exp1'!H164/$Z$27</f>
        <v>0</v>
      </c>
      <c r="AD33" s="392">
        <f>'Imp-Exp1'!I164/$Z$27</f>
        <v>0</v>
      </c>
      <c r="AE33" s="392">
        <f>'Imp-Exp1'!J164/$Z$27</f>
        <v>0</v>
      </c>
      <c r="AF33" s="392">
        <f>'Imp-Exp1'!K164/$Z$27</f>
        <v>0</v>
      </c>
      <c r="AG33" s="396">
        <f>'Imp-Exp1'!L164/$Z$27</f>
        <v>0</v>
      </c>
    </row>
    <row r="34" spans="2:33" s="302" customFormat="1" x14ac:dyDescent="0.3">
      <c r="B34" s="387">
        <f t="shared" si="5"/>
        <v>0</v>
      </c>
      <c r="C34" s="387">
        <f t="shared" si="5"/>
        <v>0</v>
      </c>
      <c r="D34" s="387" t="s">
        <v>648</v>
      </c>
      <c r="E34" s="387" t="str">
        <f t="shared" si="6"/>
        <v/>
      </c>
      <c r="F34" s="388"/>
      <c r="G34" s="388"/>
      <c r="H34" s="388"/>
      <c r="I34" s="387" t="s">
        <v>649</v>
      </c>
      <c r="J34" s="387" t="s">
        <v>650</v>
      </c>
      <c r="K34" s="387" t="s">
        <v>651</v>
      </c>
      <c r="L34" s="387" t="s">
        <v>621</v>
      </c>
      <c r="M34" s="387" t="s">
        <v>623</v>
      </c>
      <c r="N34" s="387" t="s">
        <v>652</v>
      </c>
      <c r="O34" s="387" t="s">
        <v>593</v>
      </c>
      <c r="P34" s="387" t="s">
        <v>679</v>
      </c>
      <c r="Q34" s="387" t="s">
        <v>654</v>
      </c>
      <c r="R34" s="399">
        <f>'Imp-Exp1'!E204</f>
        <v>0</v>
      </c>
      <c r="S34" s="389">
        <f>'Imp-Exp1'!F204</f>
        <v>0</v>
      </c>
      <c r="T34" s="389">
        <f>'Imp-Exp1'!G204</f>
        <v>0</v>
      </c>
      <c r="U34" s="389">
        <f>'Imp-Exp1'!H204</f>
        <v>0</v>
      </c>
      <c r="V34" s="389">
        <f>'Imp-Exp1'!I204</f>
        <v>0</v>
      </c>
      <c r="W34" s="389">
        <f>'Imp-Exp1'!J204</f>
        <v>0</v>
      </c>
      <c r="X34" s="389">
        <f>'Imp-Exp1'!K204</f>
        <v>0</v>
      </c>
      <c r="Y34" s="389">
        <f>'Imp-Exp1'!L204</f>
        <v>0</v>
      </c>
      <c r="Z34" s="397">
        <f>'Imp-Exp1'!E205/$Z$27</f>
        <v>0</v>
      </c>
      <c r="AA34" s="389">
        <f>'Imp-Exp1'!F205/$Z$27</f>
        <v>0</v>
      </c>
      <c r="AB34" s="389">
        <f>'Imp-Exp1'!G205/$Z$27</f>
        <v>0</v>
      </c>
      <c r="AC34" s="389">
        <f>'Imp-Exp1'!H205/$Z$27</f>
        <v>0</v>
      </c>
      <c r="AD34" s="389">
        <f>'Imp-Exp1'!I205/$Z$27</f>
        <v>0</v>
      </c>
      <c r="AE34" s="389">
        <f>'Imp-Exp1'!J205/$Z$27</f>
        <v>0</v>
      </c>
      <c r="AF34" s="389">
        <f>'Imp-Exp1'!K205/$Z$27</f>
        <v>0</v>
      </c>
      <c r="AG34" s="395">
        <f>'Imp-Exp1'!L205/$Z$27</f>
        <v>0</v>
      </c>
    </row>
    <row r="35" spans="2:33" x14ac:dyDescent="0.3">
      <c r="B35" s="387">
        <f t="shared" si="5"/>
        <v>0</v>
      </c>
      <c r="C35" s="387">
        <f t="shared" si="5"/>
        <v>0</v>
      </c>
      <c r="D35" s="390" t="s">
        <v>648</v>
      </c>
      <c r="E35" s="387" t="str">
        <f t="shared" si="6"/>
        <v/>
      </c>
      <c r="F35" s="391"/>
      <c r="G35" s="391"/>
      <c r="H35" s="391"/>
      <c r="I35" s="390" t="s">
        <v>649</v>
      </c>
      <c r="J35" s="390" t="s">
        <v>650</v>
      </c>
      <c r="K35" s="390" t="s">
        <v>651</v>
      </c>
      <c r="L35" s="390" t="s">
        <v>621</v>
      </c>
      <c r="M35" s="390" t="s">
        <v>623</v>
      </c>
      <c r="N35" s="390" t="s">
        <v>652</v>
      </c>
      <c r="O35" s="390" t="s">
        <v>595</v>
      </c>
      <c r="P35" s="390" t="s">
        <v>680</v>
      </c>
      <c r="Q35" s="390" t="s">
        <v>654</v>
      </c>
      <c r="R35" s="400">
        <f>'Imp-Exp1'!E209</f>
        <v>0</v>
      </c>
      <c r="S35" s="392">
        <f>'Imp-Exp1'!F209</f>
        <v>0</v>
      </c>
      <c r="T35" s="392">
        <f>'Imp-Exp1'!G209</f>
        <v>0</v>
      </c>
      <c r="U35" s="392">
        <f>'Imp-Exp1'!H209</f>
        <v>0</v>
      </c>
      <c r="V35" s="392">
        <f>'Imp-Exp1'!I209</f>
        <v>0</v>
      </c>
      <c r="W35" s="392">
        <f>'Imp-Exp1'!J209</f>
        <v>0</v>
      </c>
      <c r="X35" s="392">
        <f>'Imp-Exp1'!K209</f>
        <v>0</v>
      </c>
      <c r="Y35" s="392">
        <f>'Imp-Exp1'!L209</f>
        <v>0</v>
      </c>
      <c r="Z35" s="398">
        <f>'Imp-Exp1'!E210/$Z$27</f>
        <v>0</v>
      </c>
      <c r="AA35" s="392">
        <f>'Imp-Exp1'!F210/$Z$27</f>
        <v>0</v>
      </c>
      <c r="AB35" s="392">
        <f>'Imp-Exp1'!G210/$Z$27</f>
        <v>0</v>
      </c>
      <c r="AC35" s="392">
        <f>'Imp-Exp1'!H210/$Z$27</f>
        <v>0</v>
      </c>
      <c r="AD35" s="392">
        <f>'Imp-Exp1'!I210/$Z$27</f>
        <v>0</v>
      </c>
      <c r="AE35" s="392">
        <f>'Imp-Exp1'!J210/$Z$27</f>
        <v>0</v>
      </c>
      <c r="AF35" s="392">
        <f>'Imp-Exp1'!K210/$Z$27</f>
        <v>0</v>
      </c>
      <c r="AG35" s="396">
        <f>'Imp-Exp1'!L210/$Z$27</f>
        <v>0</v>
      </c>
    </row>
    <row r="36" spans="2:33" x14ac:dyDescent="0.3">
      <c r="B36" s="387">
        <f t="shared" si="5"/>
        <v>0</v>
      </c>
      <c r="C36" s="387">
        <f t="shared" si="5"/>
        <v>0</v>
      </c>
      <c r="D36" s="390" t="s">
        <v>648</v>
      </c>
      <c r="E36" s="387" t="str">
        <f t="shared" si="6"/>
        <v/>
      </c>
      <c r="F36" s="391"/>
      <c r="G36" s="391"/>
      <c r="H36" s="391"/>
      <c r="I36" s="390" t="s">
        <v>649</v>
      </c>
      <c r="J36" s="390" t="s">
        <v>650</v>
      </c>
      <c r="K36" s="390" t="s">
        <v>651</v>
      </c>
      <c r="L36" s="390" t="s">
        <v>621</v>
      </c>
      <c r="M36" s="390" t="s">
        <v>623</v>
      </c>
      <c r="N36" s="390" t="s">
        <v>652</v>
      </c>
      <c r="O36" s="390" t="s">
        <v>597</v>
      </c>
      <c r="P36" s="390" t="s">
        <v>681</v>
      </c>
      <c r="Q36" s="390" t="s">
        <v>654</v>
      </c>
      <c r="R36" s="400">
        <f>'Imp-Exp1'!E214</f>
        <v>0</v>
      </c>
      <c r="S36" s="392">
        <f>'Imp-Exp1'!F214</f>
        <v>0</v>
      </c>
      <c r="T36" s="392">
        <f>'Imp-Exp1'!G214</f>
        <v>0</v>
      </c>
      <c r="U36" s="392">
        <f>'Imp-Exp1'!H214</f>
        <v>0</v>
      </c>
      <c r="V36" s="392">
        <f>'Imp-Exp1'!I214</f>
        <v>0</v>
      </c>
      <c r="W36" s="392">
        <f>'Imp-Exp1'!J214</f>
        <v>0</v>
      </c>
      <c r="X36" s="392">
        <f>'Imp-Exp1'!K214</f>
        <v>0</v>
      </c>
      <c r="Y36" s="392">
        <f>'Imp-Exp1'!L214</f>
        <v>0</v>
      </c>
      <c r="Z36" s="398">
        <f>'Imp-Exp1'!E215/$Z$27</f>
        <v>0</v>
      </c>
      <c r="AA36" s="392">
        <f>'Imp-Exp1'!F215/$Z$27</f>
        <v>0</v>
      </c>
      <c r="AB36" s="392">
        <f>'Imp-Exp1'!G215/$Z$27</f>
        <v>0</v>
      </c>
      <c r="AC36" s="392">
        <f>'Imp-Exp1'!H215/$Z$27</f>
        <v>0</v>
      </c>
      <c r="AD36" s="392">
        <f>'Imp-Exp1'!I215/$Z$27</f>
        <v>0</v>
      </c>
      <c r="AE36" s="392">
        <f>'Imp-Exp1'!J215/$Z$27</f>
        <v>0</v>
      </c>
      <c r="AF36" s="392">
        <f>'Imp-Exp1'!K215/$Z$27</f>
        <v>0</v>
      </c>
      <c r="AG36" s="396">
        <f>'Imp-Exp1'!L215/$Z$27</f>
        <v>0</v>
      </c>
    </row>
    <row r="37" spans="2:33" x14ac:dyDescent="0.3">
      <c r="B37" s="387">
        <f t="shared" si="5"/>
        <v>0</v>
      </c>
      <c r="C37" s="387">
        <f t="shared" si="5"/>
        <v>0</v>
      </c>
      <c r="D37" s="390" t="s">
        <v>648</v>
      </c>
      <c r="E37" s="387" t="str">
        <f t="shared" si="6"/>
        <v/>
      </c>
      <c r="F37" s="391"/>
      <c r="G37" s="391"/>
      <c r="H37" s="391"/>
      <c r="I37" s="390" t="s">
        <v>649</v>
      </c>
      <c r="J37" s="390" t="s">
        <v>650</v>
      </c>
      <c r="K37" s="390" t="s">
        <v>651</v>
      </c>
      <c r="L37" s="390" t="s">
        <v>621</v>
      </c>
      <c r="M37" s="390" t="s">
        <v>623</v>
      </c>
      <c r="N37" s="390" t="s">
        <v>652</v>
      </c>
      <c r="O37" s="390" t="s">
        <v>599</v>
      </c>
      <c r="P37" s="390" t="s">
        <v>682</v>
      </c>
      <c r="Q37" s="390" t="s">
        <v>654</v>
      </c>
      <c r="R37" s="400">
        <f>'Imp-Exp1'!E219</f>
        <v>0</v>
      </c>
      <c r="S37" s="392">
        <f>'Imp-Exp1'!F219</f>
        <v>0</v>
      </c>
      <c r="T37" s="392">
        <f>'Imp-Exp1'!G219</f>
        <v>0</v>
      </c>
      <c r="U37" s="392">
        <f>'Imp-Exp1'!H219</f>
        <v>0</v>
      </c>
      <c r="V37" s="392">
        <f>'Imp-Exp1'!I219</f>
        <v>0</v>
      </c>
      <c r="W37" s="392">
        <f>'Imp-Exp1'!J219</f>
        <v>0</v>
      </c>
      <c r="X37" s="392">
        <f>'Imp-Exp1'!K219</f>
        <v>0</v>
      </c>
      <c r="Y37" s="392">
        <f>'Imp-Exp1'!L219</f>
        <v>0</v>
      </c>
      <c r="Z37" s="398">
        <f>'Imp-Exp1'!E220/$Z$27</f>
        <v>0</v>
      </c>
      <c r="AA37" s="392">
        <f>'Imp-Exp1'!F220/$Z$27</f>
        <v>0</v>
      </c>
      <c r="AB37" s="392">
        <f>'Imp-Exp1'!G220/$Z$27</f>
        <v>0</v>
      </c>
      <c r="AC37" s="392">
        <f>'Imp-Exp1'!H220/$Z$27</f>
        <v>0</v>
      </c>
      <c r="AD37" s="392">
        <f>'Imp-Exp1'!I220/$Z$27</f>
        <v>0</v>
      </c>
      <c r="AE37" s="392">
        <f>'Imp-Exp1'!J220/$Z$27</f>
        <v>0</v>
      </c>
      <c r="AF37" s="392">
        <f>'Imp-Exp1'!K220/$Z$27</f>
        <v>0</v>
      </c>
      <c r="AG37" s="396">
        <f>'Imp-Exp1'!L220/$Z$27</f>
        <v>0</v>
      </c>
    </row>
    <row r="38" spans="2:33" x14ac:dyDescent="0.3">
      <c r="B38" s="387">
        <f t="shared" si="5"/>
        <v>0</v>
      </c>
      <c r="C38" s="387">
        <f t="shared" si="5"/>
        <v>0</v>
      </c>
      <c r="D38" s="390" t="s">
        <v>648</v>
      </c>
      <c r="E38" s="387" t="str">
        <f t="shared" si="6"/>
        <v/>
      </c>
      <c r="F38" s="391"/>
      <c r="G38" s="391"/>
      <c r="H38" s="391"/>
      <c r="I38" s="390" t="s">
        <v>649</v>
      </c>
      <c r="J38" s="390" t="s">
        <v>650</v>
      </c>
      <c r="K38" s="390" t="s">
        <v>651</v>
      </c>
      <c r="L38" s="390" t="s">
        <v>621</v>
      </c>
      <c r="M38" s="390" t="s">
        <v>623</v>
      </c>
      <c r="N38" s="390" t="s">
        <v>652</v>
      </c>
      <c r="O38" s="390" t="s">
        <v>601</v>
      </c>
      <c r="P38" s="390" t="s">
        <v>683</v>
      </c>
      <c r="Q38" s="390" t="s">
        <v>654</v>
      </c>
      <c r="R38" s="400">
        <f>'Imp-Exp1'!E224</f>
        <v>0</v>
      </c>
      <c r="S38" s="392">
        <f>'Imp-Exp1'!F224</f>
        <v>0</v>
      </c>
      <c r="T38" s="392">
        <f>'Imp-Exp1'!G224</f>
        <v>0</v>
      </c>
      <c r="U38" s="392">
        <f>'Imp-Exp1'!H224</f>
        <v>0</v>
      </c>
      <c r="V38" s="392">
        <f>'Imp-Exp1'!I224</f>
        <v>0</v>
      </c>
      <c r="W38" s="392">
        <f>'Imp-Exp1'!J224</f>
        <v>0</v>
      </c>
      <c r="X38" s="392">
        <f>'Imp-Exp1'!K224</f>
        <v>0</v>
      </c>
      <c r="Y38" s="392">
        <f>'Imp-Exp1'!L224</f>
        <v>0</v>
      </c>
      <c r="Z38" s="398">
        <f>'Imp-Exp1'!E225/$Z$27</f>
        <v>0</v>
      </c>
      <c r="AA38" s="392">
        <f>'Imp-Exp1'!F225/$Z$27</f>
        <v>0</v>
      </c>
      <c r="AB38" s="392">
        <f>'Imp-Exp1'!G225/$Z$27</f>
        <v>0</v>
      </c>
      <c r="AC38" s="392">
        <f>'Imp-Exp1'!H225/$Z$27</f>
        <v>0</v>
      </c>
      <c r="AD38" s="392">
        <f>'Imp-Exp1'!I225/$Z$27</f>
        <v>0</v>
      </c>
      <c r="AE38" s="392">
        <f>'Imp-Exp1'!J225/$Z$27</f>
        <v>0</v>
      </c>
      <c r="AF38" s="392">
        <f>'Imp-Exp1'!K225/$Z$27</f>
        <v>0</v>
      </c>
      <c r="AG38" s="396">
        <f>'Imp-Exp1'!L225/$Z$27</f>
        <v>0</v>
      </c>
    </row>
    <row r="39" spans="2:33" s="302" customFormat="1" x14ac:dyDescent="0.3">
      <c r="B39" s="387">
        <f t="shared" si="5"/>
        <v>0</v>
      </c>
      <c r="C39" s="387">
        <f t="shared" si="5"/>
        <v>0</v>
      </c>
      <c r="D39" s="387" t="s">
        <v>648</v>
      </c>
      <c r="E39" s="387" t="str">
        <f t="shared" si="6"/>
        <v/>
      </c>
      <c r="F39" s="388"/>
      <c r="G39" s="388"/>
      <c r="H39" s="388"/>
      <c r="I39" s="387" t="s">
        <v>684</v>
      </c>
      <c r="J39" s="387" t="s">
        <v>650</v>
      </c>
      <c r="K39" s="387" t="s">
        <v>651</v>
      </c>
      <c r="L39" s="387" t="s">
        <v>621</v>
      </c>
      <c r="M39" s="387" t="s">
        <v>623</v>
      </c>
      <c r="N39" s="387" t="s">
        <v>652</v>
      </c>
      <c r="O39" s="387" t="s">
        <v>593</v>
      </c>
      <c r="P39" s="387" t="s">
        <v>679</v>
      </c>
      <c r="Q39" s="387" t="s">
        <v>653</v>
      </c>
      <c r="R39" s="399">
        <f>'Imp-Exp2'!E143</f>
        <v>0</v>
      </c>
      <c r="S39" s="389">
        <f>'Imp-Exp2'!F143</f>
        <v>0</v>
      </c>
      <c r="T39" s="389">
        <f>'Imp-Exp2'!G143</f>
        <v>0</v>
      </c>
      <c r="U39" s="389">
        <f>'Imp-Exp2'!H143</f>
        <v>0</v>
      </c>
      <c r="V39" s="389">
        <f>'Imp-Exp2'!I143</f>
        <v>0</v>
      </c>
      <c r="W39" s="389">
        <f>'Imp-Exp2'!J143</f>
        <v>0</v>
      </c>
      <c r="X39" s="389">
        <f>'Imp-Exp2'!K143</f>
        <v>0</v>
      </c>
      <c r="Y39" s="389">
        <f>'Imp-Exp2'!L143</f>
        <v>0</v>
      </c>
      <c r="Z39" s="397">
        <f>'Imp-Exp2'!E144/$Z$27</f>
        <v>0</v>
      </c>
      <c r="AA39" s="389">
        <f>'Imp-Exp2'!F144/$Z$27</f>
        <v>0</v>
      </c>
      <c r="AB39" s="389">
        <f>'Imp-Exp2'!G144/$Z$27</f>
        <v>0</v>
      </c>
      <c r="AC39" s="389">
        <f>'Imp-Exp2'!H144/$Z$27</f>
        <v>0</v>
      </c>
      <c r="AD39" s="389">
        <f>'Imp-Exp2'!I144/$Z$27</f>
        <v>0</v>
      </c>
      <c r="AE39" s="389">
        <f>'Imp-Exp2'!J144/$Z$27</f>
        <v>0</v>
      </c>
      <c r="AF39" s="389">
        <f>'Imp-Exp2'!K144/$Z$27</f>
        <v>0</v>
      </c>
      <c r="AG39" s="395">
        <f>'Imp-Exp2'!L144/$Z$27</f>
        <v>0</v>
      </c>
    </row>
    <row r="40" spans="2:33" x14ac:dyDescent="0.3">
      <c r="B40" s="387">
        <f t="shared" si="5"/>
        <v>0</v>
      </c>
      <c r="C40" s="387">
        <f t="shared" si="5"/>
        <v>0</v>
      </c>
      <c r="D40" s="390" t="s">
        <v>648</v>
      </c>
      <c r="E40" s="387" t="str">
        <f t="shared" si="6"/>
        <v/>
      </c>
      <c r="F40" s="391"/>
      <c r="G40" s="391"/>
      <c r="H40" s="391"/>
      <c r="I40" s="390" t="s">
        <v>684</v>
      </c>
      <c r="J40" s="390" t="s">
        <v>650</v>
      </c>
      <c r="K40" s="390" t="s">
        <v>651</v>
      </c>
      <c r="L40" s="390" t="s">
        <v>621</v>
      </c>
      <c r="M40" s="390" t="s">
        <v>623</v>
      </c>
      <c r="N40" s="390" t="s">
        <v>652</v>
      </c>
      <c r="O40" s="390" t="s">
        <v>595</v>
      </c>
      <c r="P40" s="390" t="s">
        <v>680</v>
      </c>
      <c r="Q40" s="390" t="s">
        <v>653</v>
      </c>
      <c r="R40" s="400">
        <f>'Imp-Exp2'!E148</f>
        <v>0</v>
      </c>
      <c r="S40" s="392">
        <f>'Imp-Exp2'!F148</f>
        <v>0</v>
      </c>
      <c r="T40" s="392">
        <f>'Imp-Exp2'!G148</f>
        <v>0</v>
      </c>
      <c r="U40" s="392">
        <f>'Imp-Exp2'!H148</f>
        <v>0</v>
      </c>
      <c r="V40" s="392">
        <f>'Imp-Exp2'!I148</f>
        <v>0</v>
      </c>
      <c r="W40" s="392">
        <f>'Imp-Exp2'!J148</f>
        <v>0</v>
      </c>
      <c r="X40" s="392">
        <f>'Imp-Exp2'!K148</f>
        <v>0</v>
      </c>
      <c r="Y40" s="392">
        <f>'Imp-Exp2'!L148</f>
        <v>0</v>
      </c>
      <c r="Z40" s="398">
        <f>'Imp-Exp2'!E149/$Z$27</f>
        <v>0</v>
      </c>
      <c r="AA40" s="392">
        <f>'Imp-Exp2'!F149/$Z$27</f>
        <v>0</v>
      </c>
      <c r="AB40" s="392">
        <f>'Imp-Exp2'!G149/$Z$27</f>
        <v>0</v>
      </c>
      <c r="AC40" s="392">
        <f>'Imp-Exp2'!H149/$Z$27</f>
        <v>0</v>
      </c>
      <c r="AD40" s="392">
        <f>'Imp-Exp2'!I149/$Z$27</f>
        <v>0</v>
      </c>
      <c r="AE40" s="392">
        <f>'Imp-Exp2'!J149/$Z$27</f>
        <v>0</v>
      </c>
      <c r="AF40" s="392">
        <f>'Imp-Exp2'!K149/$Z$27</f>
        <v>0</v>
      </c>
      <c r="AG40" s="396">
        <f>'Imp-Exp2'!L149/$Z$27</f>
        <v>0</v>
      </c>
    </row>
    <row r="41" spans="2:33" x14ac:dyDescent="0.3">
      <c r="B41" s="387">
        <f t="shared" si="5"/>
        <v>0</v>
      </c>
      <c r="C41" s="387">
        <f t="shared" si="5"/>
        <v>0</v>
      </c>
      <c r="D41" s="390" t="s">
        <v>648</v>
      </c>
      <c r="E41" s="387" t="str">
        <f t="shared" si="6"/>
        <v/>
      </c>
      <c r="F41" s="391"/>
      <c r="G41" s="391"/>
      <c r="H41" s="391"/>
      <c r="I41" s="390" t="s">
        <v>684</v>
      </c>
      <c r="J41" s="390" t="s">
        <v>650</v>
      </c>
      <c r="K41" s="390" t="s">
        <v>651</v>
      </c>
      <c r="L41" s="390" t="s">
        <v>621</v>
      </c>
      <c r="M41" s="390" t="s">
        <v>623</v>
      </c>
      <c r="N41" s="390" t="s">
        <v>652</v>
      </c>
      <c r="O41" s="390" t="s">
        <v>597</v>
      </c>
      <c r="P41" s="390" t="s">
        <v>681</v>
      </c>
      <c r="Q41" s="390" t="s">
        <v>653</v>
      </c>
      <c r="R41" s="400">
        <f>'Imp-Exp2'!E153</f>
        <v>0</v>
      </c>
      <c r="S41" s="392">
        <f>'Imp-Exp2'!F153</f>
        <v>0</v>
      </c>
      <c r="T41" s="392">
        <f>'Imp-Exp2'!G153</f>
        <v>0</v>
      </c>
      <c r="U41" s="392">
        <f>'Imp-Exp2'!H153</f>
        <v>0</v>
      </c>
      <c r="V41" s="392">
        <f>'Imp-Exp2'!I153</f>
        <v>0</v>
      </c>
      <c r="W41" s="392">
        <f>'Imp-Exp2'!J153</f>
        <v>0</v>
      </c>
      <c r="X41" s="392">
        <f>'Imp-Exp2'!K153</f>
        <v>0</v>
      </c>
      <c r="Y41" s="392">
        <f>'Imp-Exp2'!L153</f>
        <v>0</v>
      </c>
      <c r="Z41" s="398">
        <f>'Imp-Exp2'!E154/$Z$27</f>
        <v>0</v>
      </c>
      <c r="AA41" s="392">
        <f>'Imp-Exp2'!F154/$Z$27</f>
        <v>0</v>
      </c>
      <c r="AB41" s="392">
        <f>'Imp-Exp2'!G154/$Z$27</f>
        <v>0</v>
      </c>
      <c r="AC41" s="392">
        <f>'Imp-Exp2'!H154/$Z$27</f>
        <v>0</v>
      </c>
      <c r="AD41" s="392">
        <f>'Imp-Exp2'!I154/$Z$27</f>
        <v>0</v>
      </c>
      <c r="AE41" s="392">
        <f>'Imp-Exp2'!J154/$Z$27</f>
        <v>0</v>
      </c>
      <c r="AF41" s="392">
        <f>'Imp-Exp2'!K154/$Z$27</f>
        <v>0</v>
      </c>
      <c r="AG41" s="396">
        <f>'Imp-Exp2'!L154/$Z$27</f>
        <v>0</v>
      </c>
    </row>
    <row r="42" spans="2:33" x14ac:dyDescent="0.3">
      <c r="B42" s="387">
        <f t="shared" si="5"/>
        <v>0</v>
      </c>
      <c r="C42" s="387">
        <f t="shared" si="5"/>
        <v>0</v>
      </c>
      <c r="D42" s="390" t="s">
        <v>648</v>
      </c>
      <c r="E42" s="387" t="str">
        <f t="shared" si="6"/>
        <v/>
      </c>
      <c r="F42" s="391"/>
      <c r="G42" s="391"/>
      <c r="H42" s="391"/>
      <c r="I42" s="390" t="s">
        <v>684</v>
      </c>
      <c r="J42" s="390" t="s">
        <v>650</v>
      </c>
      <c r="K42" s="390" t="s">
        <v>651</v>
      </c>
      <c r="L42" s="390" t="s">
        <v>621</v>
      </c>
      <c r="M42" s="390" t="s">
        <v>623</v>
      </c>
      <c r="N42" s="390" t="s">
        <v>652</v>
      </c>
      <c r="O42" s="390" t="s">
        <v>599</v>
      </c>
      <c r="P42" s="390" t="s">
        <v>682</v>
      </c>
      <c r="Q42" s="390" t="s">
        <v>653</v>
      </c>
      <c r="R42" s="400">
        <f>'Imp-Exp2'!E158</f>
        <v>0</v>
      </c>
      <c r="S42" s="392">
        <f>'Imp-Exp2'!F158</f>
        <v>0</v>
      </c>
      <c r="T42" s="392">
        <f>'Imp-Exp2'!G158</f>
        <v>0</v>
      </c>
      <c r="U42" s="392">
        <f>'Imp-Exp2'!H158</f>
        <v>0</v>
      </c>
      <c r="V42" s="392">
        <f>'Imp-Exp2'!I158</f>
        <v>0</v>
      </c>
      <c r="W42" s="392">
        <f>'Imp-Exp2'!J158</f>
        <v>0</v>
      </c>
      <c r="X42" s="392">
        <f>'Imp-Exp2'!K158</f>
        <v>0</v>
      </c>
      <c r="Y42" s="392">
        <f>'Imp-Exp2'!L158</f>
        <v>0</v>
      </c>
      <c r="Z42" s="398">
        <f>'Imp-Exp2'!E159/$Z$27</f>
        <v>0</v>
      </c>
      <c r="AA42" s="392">
        <f>'Imp-Exp2'!F159/$Z$27</f>
        <v>0</v>
      </c>
      <c r="AB42" s="392">
        <f>'Imp-Exp2'!G159/$Z$27</f>
        <v>0</v>
      </c>
      <c r="AC42" s="392">
        <f>'Imp-Exp2'!H159/$Z$27</f>
        <v>0</v>
      </c>
      <c r="AD42" s="392">
        <f>'Imp-Exp2'!I159/$Z$27</f>
        <v>0</v>
      </c>
      <c r="AE42" s="392">
        <f>'Imp-Exp2'!J159/$Z$27</f>
        <v>0</v>
      </c>
      <c r="AF42" s="392">
        <f>'Imp-Exp2'!K159/$Z$27</f>
        <v>0</v>
      </c>
      <c r="AG42" s="396">
        <f>'Imp-Exp2'!L159/$Z$27</f>
        <v>0</v>
      </c>
    </row>
    <row r="43" spans="2:33" x14ac:dyDescent="0.3">
      <c r="B43" s="387">
        <f t="shared" si="5"/>
        <v>0</v>
      </c>
      <c r="C43" s="387">
        <f t="shared" si="5"/>
        <v>0</v>
      </c>
      <c r="D43" s="390" t="s">
        <v>648</v>
      </c>
      <c r="E43" s="387" t="str">
        <f t="shared" si="6"/>
        <v/>
      </c>
      <c r="F43" s="391"/>
      <c r="G43" s="391"/>
      <c r="H43" s="391"/>
      <c r="I43" s="390" t="s">
        <v>684</v>
      </c>
      <c r="J43" s="390" t="s">
        <v>650</v>
      </c>
      <c r="K43" s="390" t="s">
        <v>651</v>
      </c>
      <c r="L43" s="390" t="s">
        <v>621</v>
      </c>
      <c r="M43" s="390" t="s">
        <v>623</v>
      </c>
      <c r="N43" s="390" t="s">
        <v>652</v>
      </c>
      <c r="O43" s="390" t="s">
        <v>601</v>
      </c>
      <c r="P43" s="390" t="s">
        <v>683</v>
      </c>
      <c r="Q43" s="390" t="s">
        <v>653</v>
      </c>
      <c r="R43" s="400">
        <f>'Imp-Exp2'!E163</f>
        <v>0</v>
      </c>
      <c r="S43" s="392">
        <f>'Imp-Exp2'!F163</f>
        <v>0</v>
      </c>
      <c r="T43" s="392">
        <f>'Imp-Exp2'!G163</f>
        <v>0</v>
      </c>
      <c r="U43" s="392">
        <f>'Imp-Exp2'!H163</f>
        <v>0</v>
      </c>
      <c r="V43" s="392">
        <f>'Imp-Exp2'!I163</f>
        <v>0</v>
      </c>
      <c r="W43" s="392">
        <f>'Imp-Exp2'!J163</f>
        <v>0</v>
      </c>
      <c r="X43" s="392">
        <f>'Imp-Exp2'!K163</f>
        <v>0</v>
      </c>
      <c r="Y43" s="392">
        <f>'Imp-Exp2'!L163</f>
        <v>0</v>
      </c>
      <c r="Z43" s="398">
        <f>'Imp-Exp2'!E164/$Z$27</f>
        <v>0</v>
      </c>
      <c r="AA43" s="392">
        <f>'Imp-Exp2'!F164/$Z$27</f>
        <v>0</v>
      </c>
      <c r="AB43" s="392">
        <f>'Imp-Exp2'!G164/$Z$27</f>
        <v>0</v>
      </c>
      <c r="AC43" s="392">
        <f>'Imp-Exp2'!H164/$Z$27</f>
        <v>0</v>
      </c>
      <c r="AD43" s="392">
        <f>'Imp-Exp2'!I164/$Z$27</f>
        <v>0</v>
      </c>
      <c r="AE43" s="392">
        <f>'Imp-Exp2'!J164/$Z$27</f>
        <v>0</v>
      </c>
      <c r="AF43" s="392">
        <f>'Imp-Exp2'!K164/$Z$27</f>
        <v>0</v>
      </c>
      <c r="AG43" s="396">
        <f>'Imp-Exp2'!L164/$Z$27</f>
        <v>0</v>
      </c>
    </row>
    <row r="44" spans="2:33" s="302" customFormat="1" x14ac:dyDescent="0.3">
      <c r="B44" s="387">
        <f t="shared" si="5"/>
        <v>0</v>
      </c>
      <c r="C44" s="387">
        <f t="shared" si="5"/>
        <v>0</v>
      </c>
      <c r="D44" s="387" t="s">
        <v>648</v>
      </c>
      <c r="E44" s="387" t="str">
        <f t="shared" si="6"/>
        <v/>
      </c>
      <c r="F44" s="388"/>
      <c r="G44" s="388"/>
      <c r="H44" s="388"/>
      <c r="I44" s="387" t="s">
        <v>684</v>
      </c>
      <c r="J44" s="387" t="s">
        <v>650</v>
      </c>
      <c r="K44" s="387" t="s">
        <v>651</v>
      </c>
      <c r="L44" s="387" t="s">
        <v>621</v>
      </c>
      <c r="M44" s="387" t="s">
        <v>623</v>
      </c>
      <c r="N44" s="387" t="s">
        <v>652</v>
      </c>
      <c r="O44" s="387" t="s">
        <v>593</v>
      </c>
      <c r="P44" s="387" t="s">
        <v>679</v>
      </c>
      <c r="Q44" s="387" t="s">
        <v>654</v>
      </c>
      <c r="R44" s="399">
        <f>'Imp-Exp2'!E204</f>
        <v>0</v>
      </c>
      <c r="S44" s="389">
        <f>'Imp-Exp2'!F204</f>
        <v>0</v>
      </c>
      <c r="T44" s="389">
        <f>'Imp-Exp2'!G204</f>
        <v>0</v>
      </c>
      <c r="U44" s="389">
        <f>'Imp-Exp2'!H204</f>
        <v>0</v>
      </c>
      <c r="V44" s="389">
        <f>'Imp-Exp2'!I204</f>
        <v>0</v>
      </c>
      <c r="W44" s="389">
        <f>'Imp-Exp2'!J204</f>
        <v>0</v>
      </c>
      <c r="X44" s="389">
        <f>'Imp-Exp2'!K204</f>
        <v>0</v>
      </c>
      <c r="Y44" s="389">
        <f>'Imp-Exp2'!L204</f>
        <v>0</v>
      </c>
      <c r="Z44" s="397">
        <f>'Imp-Exp2'!E205/$Z$27</f>
        <v>0</v>
      </c>
      <c r="AA44" s="389">
        <f>'Imp-Exp2'!F205/$Z$27</f>
        <v>0</v>
      </c>
      <c r="AB44" s="389">
        <f>'Imp-Exp2'!G205/$Z$27</f>
        <v>0</v>
      </c>
      <c r="AC44" s="389">
        <f>'Imp-Exp2'!H205/$Z$27</f>
        <v>0</v>
      </c>
      <c r="AD44" s="389">
        <f>'Imp-Exp2'!I205/$Z$27</f>
        <v>0</v>
      </c>
      <c r="AE44" s="389">
        <f>'Imp-Exp2'!J205/$Z$27</f>
        <v>0</v>
      </c>
      <c r="AF44" s="389">
        <f>'Imp-Exp2'!K205/$Z$27</f>
        <v>0</v>
      </c>
      <c r="AG44" s="395">
        <f>'Imp-Exp2'!L205/$Z$27</f>
        <v>0</v>
      </c>
    </row>
    <row r="45" spans="2:33" x14ac:dyDescent="0.3">
      <c r="B45" s="387">
        <f t="shared" si="5"/>
        <v>0</v>
      </c>
      <c r="C45" s="387">
        <f t="shared" si="5"/>
        <v>0</v>
      </c>
      <c r="D45" s="390" t="s">
        <v>648</v>
      </c>
      <c r="E45" s="387" t="str">
        <f t="shared" si="6"/>
        <v/>
      </c>
      <c r="F45" s="391"/>
      <c r="G45" s="391"/>
      <c r="H45" s="391"/>
      <c r="I45" s="390" t="s">
        <v>684</v>
      </c>
      <c r="J45" s="390" t="s">
        <v>650</v>
      </c>
      <c r="K45" s="390" t="s">
        <v>651</v>
      </c>
      <c r="L45" s="390" t="s">
        <v>621</v>
      </c>
      <c r="M45" s="390" t="s">
        <v>623</v>
      </c>
      <c r="N45" s="390" t="s">
        <v>652</v>
      </c>
      <c r="O45" s="390" t="s">
        <v>595</v>
      </c>
      <c r="P45" s="390" t="s">
        <v>680</v>
      </c>
      <c r="Q45" s="390" t="s">
        <v>654</v>
      </c>
      <c r="R45" s="400">
        <f>'Imp-Exp2'!E209</f>
        <v>0</v>
      </c>
      <c r="S45" s="392">
        <f>'Imp-Exp2'!F209</f>
        <v>0</v>
      </c>
      <c r="T45" s="392">
        <f>'Imp-Exp2'!G209</f>
        <v>0</v>
      </c>
      <c r="U45" s="392">
        <f>'Imp-Exp2'!H209</f>
        <v>0</v>
      </c>
      <c r="V45" s="392">
        <f>'Imp-Exp2'!I209</f>
        <v>0</v>
      </c>
      <c r="W45" s="392">
        <f>'Imp-Exp2'!J209</f>
        <v>0</v>
      </c>
      <c r="X45" s="392">
        <f>'Imp-Exp2'!K209</f>
        <v>0</v>
      </c>
      <c r="Y45" s="392">
        <f>'Imp-Exp2'!L209</f>
        <v>0</v>
      </c>
      <c r="Z45" s="398">
        <f>'Imp-Exp2'!E210/$Z$27</f>
        <v>0</v>
      </c>
      <c r="AA45" s="392">
        <f>'Imp-Exp2'!F210/$Z$27</f>
        <v>0</v>
      </c>
      <c r="AB45" s="392">
        <f>'Imp-Exp2'!G210/$Z$27</f>
        <v>0</v>
      </c>
      <c r="AC45" s="392">
        <f>'Imp-Exp2'!H210/$Z$27</f>
        <v>0</v>
      </c>
      <c r="AD45" s="392">
        <f>'Imp-Exp2'!I210/$Z$27</f>
        <v>0</v>
      </c>
      <c r="AE45" s="392">
        <f>'Imp-Exp2'!J210/$Z$27</f>
        <v>0</v>
      </c>
      <c r="AF45" s="392">
        <f>'Imp-Exp2'!K210/$Z$27</f>
        <v>0</v>
      </c>
      <c r="AG45" s="396">
        <f>'Imp-Exp2'!L210/$Z$27</f>
        <v>0</v>
      </c>
    </row>
    <row r="46" spans="2:33" x14ac:dyDescent="0.3">
      <c r="B46" s="387">
        <f t="shared" si="5"/>
        <v>0</v>
      </c>
      <c r="C46" s="387">
        <f t="shared" si="5"/>
        <v>0</v>
      </c>
      <c r="D46" s="390" t="s">
        <v>648</v>
      </c>
      <c r="E46" s="387" t="str">
        <f t="shared" si="6"/>
        <v/>
      </c>
      <c r="F46" s="391"/>
      <c r="G46" s="391"/>
      <c r="H46" s="391"/>
      <c r="I46" s="390" t="s">
        <v>684</v>
      </c>
      <c r="J46" s="390" t="s">
        <v>650</v>
      </c>
      <c r="K46" s="390" t="s">
        <v>651</v>
      </c>
      <c r="L46" s="390" t="s">
        <v>621</v>
      </c>
      <c r="M46" s="390" t="s">
        <v>623</v>
      </c>
      <c r="N46" s="390" t="s">
        <v>652</v>
      </c>
      <c r="O46" s="390" t="s">
        <v>597</v>
      </c>
      <c r="P46" s="390" t="s">
        <v>681</v>
      </c>
      <c r="Q46" s="390" t="s">
        <v>654</v>
      </c>
      <c r="R46" s="400">
        <f>'Imp-Exp2'!E214</f>
        <v>0</v>
      </c>
      <c r="S46" s="392">
        <f>'Imp-Exp2'!F214</f>
        <v>0</v>
      </c>
      <c r="T46" s="392">
        <f>'Imp-Exp2'!G214</f>
        <v>0</v>
      </c>
      <c r="U46" s="392">
        <f>'Imp-Exp2'!H214</f>
        <v>0</v>
      </c>
      <c r="V46" s="392">
        <f>'Imp-Exp2'!I214</f>
        <v>0</v>
      </c>
      <c r="W46" s="392">
        <f>'Imp-Exp2'!J214</f>
        <v>0</v>
      </c>
      <c r="X46" s="392">
        <f>'Imp-Exp2'!K214</f>
        <v>0</v>
      </c>
      <c r="Y46" s="392">
        <f>'Imp-Exp2'!L214</f>
        <v>0</v>
      </c>
      <c r="Z46" s="398">
        <f>'Imp-Exp2'!E215/$Z$27</f>
        <v>0</v>
      </c>
      <c r="AA46" s="392">
        <f>'Imp-Exp2'!F215/$Z$27</f>
        <v>0</v>
      </c>
      <c r="AB46" s="392">
        <f>'Imp-Exp2'!G215/$Z$27</f>
        <v>0</v>
      </c>
      <c r="AC46" s="392">
        <f>'Imp-Exp2'!H215/$Z$27</f>
        <v>0</v>
      </c>
      <c r="AD46" s="392">
        <f>'Imp-Exp2'!I215/$Z$27</f>
        <v>0</v>
      </c>
      <c r="AE46" s="392">
        <f>'Imp-Exp2'!J215/$Z$27</f>
        <v>0</v>
      </c>
      <c r="AF46" s="392">
        <f>'Imp-Exp2'!K215/$Z$27</f>
        <v>0</v>
      </c>
      <c r="AG46" s="396">
        <f>'Imp-Exp2'!L215/$Z$27</f>
        <v>0</v>
      </c>
    </row>
    <row r="47" spans="2:33" x14ac:dyDescent="0.3">
      <c r="B47" s="387">
        <f t="shared" si="5"/>
        <v>0</v>
      </c>
      <c r="C47" s="387">
        <f t="shared" si="5"/>
        <v>0</v>
      </c>
      <c r="D47" s="390" t="s">
        <v>648</v>
      </c>
      <c r="E47" s="387" t="str">
        <f t="shared" si="6"/>
        <v/>
      </c>
      <c r="F47" s="391"/>
      <c r="G47" s="391"/>
      <c r="H47" s="391"/>
      <c r="I47" s="390" t="s">
        <v>684</v>
      </c>
      <c r="J47" s="390" t="s">
        <v>650</v>
      </c>
      <c r="K47" s="390" t="s">
        <v>651</v>
      </c>
      <c r="L47" s="390" t="s">
        <v>621</v>
      </c>
      <c r="M47" s="390" t="s">
        <v>623</v>
      </c>
      <c r="N47" s="390" t="s">
        <v>652</v>
      </c>
      <c r="O47" s="390" t="s">
        <v>599</v>
      </c>
      <c r="P47" s="390" t="s">
        <v>682</v>
      </c>
      <c r="Q47" s="390" t="s">
        <v>654</v>
      </c>
      <c r="R47" s="400">
        <f>'Imp-Exp2'!E219</f>
        <v>0</v>
      </c>
      <c r="S47" s="392">
        <f>'Imp-Exp2'!F219</f>
        <v>0</v>
      </c>
      <c r="T47" s="392">
        <f>'Imp-Exp2'!G219</f>
        <v>0</v>
      </c>
      <c r="U47" s="392">
        <f>'Imp-Exp2'!H219</f>
        <v>0</v>
      </c>
      <c r="V47" s="392">
        <f>'Imp-Exp2'!I219</f>
        <v>0</v>
      </c>
      <c r="W47" s="392">
        <f>'Imp-Exp2'!J219</f>
        <v>0</v>
      </c>
      <c r="X47" s="392">
        <f>'Imp-Exp2'!K219</f>
        <v>0</v>
      </c>
      <c r="Y47" s="392">
        <f>'Imp-Exp2'!L219</f>
        <v>0</v>
      </c>
      <c r="Z47" s="398">
        <f>'Imp-Exp2'!E220/$Z$27</f>
        <v>0</v>
      </c>
      <c r="AA47" s="392">
        <f>'Imp-Exp2'!F220/$Z$27</f>
        <v>0</v>
      </c>
      <c r="AB47" s="392">
        <f>'Imp-Exp2'!G220/$Z$27</f>
        <v>0</v>
      </c>
      <c r="AC47" s="392">
        <f>'Imp-Exp2'!H220/$Z$27</f>
        <v>0</v>
      </c>
      <c r="AD47" s="392">
        <f>'Imp-Exp2'!I220/$Z$27</f>
        <v>0</v>
      </c>
      <c r="AE47" s="392">
        <f>'Imp-Exp2'!J220/$Z$27</f>
        <v>0</v>
      </c>
      <c r="AF47" s="392">
        <f>'Imp-Exp2'!K220/$Z$27</f>
        <v>0</v>
      </c>
      <c r="AG47" s="396">
        <f>'Imp-Exp2'!L220/$Z$27</f>
        <v>0</v>
      </c>
    </row>
    <row r="48" spans="2:33" x14ac:dyDescent="0.3">
      <c r="B48" s="387">
        <f t="shared" si="5"/>
        <v>0</v>
      </c>
      <c r="C48" s="387">
        <f t="shared" si="5"/>
        <v>0</v>
      </c>
      <c r="D48" s="390" t="s">
        <v>648</v>
      </c>
      <c r="E48" s="387" t="str">
        <f t="shared" si="6"/>
        <v/>
      </c>
      <c r="F48" s="391"/>
      <c r="G48" s="391"/>
      <c r="H48" s="391"/>
      <c r="I48" s="390" t="s">
        <v>684</v>
      </c>
      <c r="J48" s="390" t="s">
        <v>650</v>
      </c>
      <c r="K48" s="390" t="s">
        <v>651</v>
      </c>
      <c r="L48" s="390" t="s">
        <v>621</v>
      </c>
      <c r="M48" s="390" t="s">
        <v>623</v>
      </c>
      <c r="N48" s="390" t="s">
        <v>652</v>
      </c>
      <c r="O48" s="390" t="s">
        <v>601</v>
      </c>
      <c r="P48" s="390" t="s">
        <v>683</v>
      </c>
      <c r="Q48" s="390" t="s">
        <v>654</v>
      </c>
      <c r="R48" s="400">
        <f>'Imp-Exp2'!E224</f>
        <v>0</v>
      </c>
      <c r="S48" s="392">
        <f>'Imp-Exp2'!F224</f>
        <v>0</v>
      </c>
      <c r="T48" s="392">
        <f>'Imp-Exp2'!G224</f>
        <v>0</v>
      </c>
      <c r="U48" s="392">
        <f>'Imp-Exp2'!H224</f>
        <v>0</v>
      </c>
      <c r="V48" s="392">
        <f>'Imp-Exp2'!I224</f>
        <v>0</v>
      </c>
      <c r="W48" s="392">
        <f>'Imp-Exp2'!J224</f>
        <v>0</v>
      </c>
      <c r="X48" s="392">
        <f>'Imp-Exp2'!K224</f>
        <v>0</v>
      </c>
      <c r="Y48" s="392">
        <f>'Imp-Exp2'!L224</f>
        <v>0</v>
      </c>
      <c r="Z48" s="398">
        <f>'Imp-Exp2'!E225/$Z$27</f>
        <v>0</v>
      </c>
      <c r="AA48" s="392">
        <f>'Imp-Exp2'!F225/$Z$27</f>
        <v>0</v>
      </c>
      <c r="AB48" s="392">
        <f>'Imp-Exp2'!G225/$Z$27</f>
        <v>0</v>
      </c>
      <c r="AC48" s="392">
        <f>'Imp-Exp2'!H225/$Z$27</f>
        <v>0</v>
      </c>
      <c r="AD48" s="392">
        <f>'Imp-Exp2'!I225/$Z$27</f>
        <v>0</v>
      </c>
      <c r="AE48" s="392">
        <f>'Imp-Exp2'!J225/$Z$27</f>
        <v>0</v>
      </c>
      <c r="AF48" s="392">
        <f>'Imp-Exp2'!K225/$Z$27</f>
        <v>0</v>
      </c>
      <c r="AG48" s="396">
        <f>'Imp-Exp2'!L225/$Z$27</f>
        <v>0</v>
      </c>
    </row>
    <row r="49" spans="2:33" s="302" customFormat="1" x14ac:dyDescent="0.3">
      <c r="B49" s="387">
        <f t="shared" si="5"/>
        <v>0</v>
      </c>
      <c r="C49" s="387">
        <f t="shared" si="5"/>
        <v>0</v>
      </c>
      <c r="D49" s="387" t="s">
        <v>648</v>
      </c>
      <c r="E49" s="387" t="str">
        <f t="shared" si="6"/>
        <v/>
      </c>
      <c r="F49" s="388"/>
      <c r="G49" s="388"/>
      <c r="H49" s="388"/>
      <c r="I49" s="387" t="s">
        <v>685</v>
      </c>
      <c r="J49" s="387" t="s">
        <v>650</v>
      </c>
      <c r="K49" s="387" t="s">
        <v>651</v>
      </c>
      <c r="L49" s="387" t="s">
        <v>621</v>
      </c>
      <c r="M49" s="387" t="s">
        <v>623</v>
      </c>
      <c r="N49" s="387" t="s">
        <v>652</v>
      </c>
      <c r="O49" s="387" t="s">
        <v>593</v>
      </c>
      <c r="P49" s="387" t="s">
        <v>679</v>
      </c>
      <c r="Q49" s="387" t="s">
        <v>653</v>
      </c>
      <c r="R49" s="399">
        <f>'Imp-Exp3'!E143</f>
        <v>0</v>
      </c>
      <c r="S49" s="389">
        <f>'Imp-Exp3'!F143</f>
        <v>0</v>
      </c>
      <c r="T49" s="389">
        <f>'Imp-Exp3'!G143</f>
        <v>0</v>
      </c>
      <c r="U49" s="389">
        <f>'Imp-Exp3'!H143</f>
        <v>0</v>
      </c>
      <c r="V49" s="389">
        <f>'Imp-Exp3'!I143</f>
        <v>0</v>
      </c>
      <c r="W49" s="389">
        <f>'Imp-Exp3'!J143</f>
        <v>0</v>
      </c>
      <c r="X49" s="389">
        <f>'Imp-Exp3'!K143</f>
        <v>0</v>
      </c>
      <c r="Y49" s="389">
        <f>'Imp-Exp3'!L143</f>
        <v>0</v>
      </c>
      <c r="Z49" s="397">
        <f>'Imp-Exp3'!E144/$Z$27</f>
        <v>0</v>
      </c>
      <c r="AA49" s="389">
        <f>'Imp-Exp3'!F144/$Z$27</f>
        <v>0</v>
      </c>
      <c r="AB49" s="389">
        <f>'Imp-Exp3'!G144/$Z$27</f>
        <v>0</v>
      </c>
      <c r="AC49" s="389">
        <f>'Imp-Exp3'!H144/$Z$27</f>
        <v>0</v>
      </c>
      <c r="AD49" s="389">
        <f>'Imp-Exp3'!I144/$Z$27</f>
        <v>0</v>
      </c>
      <c r="AE49" s="389">
        <f>'Imp-Exp3'!J144/$Z$27</f>
        <v>0</v>
      </c>
      <c r="AF49" s="389">
        <f>'Imp-Exp3'!K144/$Z$27</f>
        <v>0</v>
      </c>
      <c r="AG49" s="395">
        <f>'Imp-Exp3'!L144/$Z$27</f>
        <v>0</v>
      </c>
    </row>
    <row r="50" spans="2:33" x14ac:dyDescent="0.3">
      <c r="B50" s="387">
        <f t="shared" si="5"/>
        <v>0</v>
      </c>
      <c r="C50" s="387">
        <f t="shared" si="5"/>
        <v>0</v>
      </c>
      <c r="D50" s="390" t="s">
        <v>648</v>
      </c>
      <c r="E50" s="387" t="str">
        <f t="shared" si="6"/>
        <v/>
      </c>
      <c r="F50" s="391"/>
      <c r="G50" s="391"/>
      <c r="H50" s="391"/>
      <c r="I50" s="390" t="s">
        <v>685</v>
      </c>
      <c r="J50" s="390" t="s">
        <v>650</v>
      </c>
      <c r="K50" s="390" t="s">
        <v>651</v>
      </c>
      <c r="L50" s="390" t="s">
        <v>621</v>
      </c>
      <c r="M50" s="390" t="s">
        <v>623</v>
      </c>
      <c r="N50" s="390" t="s">
        <v>652</v>
      </c>
      <c r="O50" s="390" t="s">
        <v>595</v>
      </c>
      <c r="P50" s="390" t="s">
        <v>680</v>
      </c>
      <c r="Q50" s="390" t="s">
        <v>653</v>
      </c>
      <c r="R50" s="400">
        <f>'Imp-Exp3'!E148</f>
        <v>0</v>
      </c>
      <c r="S50" s="392">
        <f>'Imp-Exp3'!F148</f>
        <v>0</v>
      </c>
      <c r="T50" s="392">
        <f>'Imp-Exp3'!G148</f>
        <v>0</v>
      </c>
      <c r="U50" s="392">
        <f>'Imp-Exp3'!H148</f>
        <v>0</v>
      </c>
      <c r="V50" s="392">
        <f>'Imp-Exp3'!I148</f>
        <v>0</v>
      </c>
      <c r="W50" s="392">
        <f>'Imp-Exp3'!J148</f>
        <v>0</v>
      </c>
      <c r="X50" s="392">
        <f>'Imp-Exp3'!K148</f>
        <v>0</v>
      </c>
      <c r="Y50" s="392">
        <f>'Imp-Exp3'!L148</f>
        <v>0</v>
      </c>
      <c r="Z50" s="398">
        <f>'Imp-Exp3'!E149/$Z$27</f>
        <v>0</v>
      </c>
      <c r="AA50" s="392">
        <f>'Imp-Exp3'!F149/$Z$27</f>
        <v>0</v>
      </c>
      <c r="AB50" s="392">
        <f>'Imp-Exp3'!G149/$Z$27</f>
        <v>0</v>
      </c>
      <c r="AC50" s="392">
        <f>'Imp-Exp3'!H149/$Z$27</f>
        <v>0</v>
      </c>
      <c r="AD50" s="392">
        <f>'Imp-Exp3'!I149/$Z$27</f>
        <v>0</v>
      </c>
      <c r="AE50" s="392">
        <f>'Imp-Exp3'!J149/$Z$27</f>
        <v>0</v>
      </c>
      <c r="AF50" s="392">
        <f>'Imp-Exp3'!K149/$Z$27</f>
        <v>0</v>
      </c>
      <c r="AG50" s="396">
        <f>'Imp-Exp3'!L149/$Z$27</f>
        <v>0</v>
      </c>
    </row>
    <row r="51" spans="2:33" x14ac:dyDescent="0.3">
      <c r="B51" s="387">
        <f t="shared" si="5"/>
        <v>0</v>
      </c>
      <c r="C51" s="387">
        <f t="shared" si="5"/>
        <v>0</v>
      </c>
      <c r="D51" s="390" t="s">
        <v>648</v>
      </c>
      <c r="E51" s="387" t="str">
        <f t="shared" si="6"/>
        <v/>
      </c>
      <c r="F51" s="391"/>
      <c r="G51" s="391"/>
      <c r="H51" s="391"/>
      <c r="I51" s="390" t="s">
        <v>685</v>
      </c>
      <c r="J51" s="390" t="s">
        <v>650</v>
      </c>
      <c r="K51" s="390" t="s">
        <v>651</v>
      </c>
      <c r="L51" s="390" t="s">
        <v>621</v>
      </c>
      <c r="M51" s="390" t="s">
        <v>623</v>
      </c>
      <c r="N51" s="390" t="s">
        <v>652</v>
      </c>
      <c r="O51" s="390" t="s">
        <v>597</v>
      </c>
      <c r="P51" s="390" t="s">
        <v>681</v>
      </c>
      <c r="Q51" s="390" t="s">
        <v>653</v>
      </c>
      <c r="R51" s="400">
        <f>'Imp-Exp3'!E153</f>
        <v>0</v>
      </c>
      <c r="S51" s="392">
        <f>'Imp-Exp3'!F153</f>
        <v>0</v>
      </c>
      <c r="T51" s="392">
        <f>'Imp-Exp3'!G153</f>
        <v>0</v>
      </c>
      <c r="U51" s="392">
        <f>'Imp-Exp3'!H153</f>
        <v>0</v>
      </c>
      <c r="V51" s="392">
        <f>'Imp-Exp3'!I153</f>
        <v>0</v>
      </c>
      <c r="W51" s="392">
        <f>'Imp-Exp3'!J153</f>
        <v>0</v>
      </c>
      <c r="X51" s="392">
        <f>'Imp-Exp3'!K153</f>
        <v>0</v>
      </c>
      <c r="Y51" s="392">
        <f>'Imp-Exp3'!L153</f>
        <v>0</v>
      </c>
      <c r="Z51" s="398">
        <f>'Imp-Exp3'!E154/$Z$27</f>
        <v>0</v>
      </c>
      <c r="AA51" s="392">
        <f>'Imp-Exp3'!F154/$Z$27</f>
        <v>0</v>
      </c>
      <c r="AB51" s="392">
        <f>'Imp-Exp3'!G154/$Z$27</f>
        <v>0</v>
      </c>
      <c r="AC51" s="392">
        <f>'Imp-Exp3'!H154/$Z$27</f>
        <v>0</v>
      </c>
      <c r="AD51" s="392">
        <f>'Imp-Exp3'!I154/$Z$27</f>
        <v>0</v>
      </c>
      <c r="AE51" s="392">
        <f>'Imp-Exp3'!J154/$Z$27</f>
        <v>0</v>
      </c>
      <c r="AF51" s="392">
        <f>'Imp-Exp3'!K154/$Z$27</f>
        <v>0</v>
      </c>
      <c r="AG51" s="396">
        <f>'Imp-Exp3'!L154/$Z$27</f>
        <v>0</v>
      </c>
    </row>
    <row r="52" spans="2:33" x14ac:dyDescent="0.3">
      <c r="B52" s="387">
        <f t="shared" si="5"/>
        <v>0</v>
      </c>
      <c r="C52" s="387">
        <f t="shared" si="5"/>
        <v>0</v>
      </c>
      <c r="D52" s="390" t="s">
        <v>648</v>
      </c>
      <c r="E52" s="387" t="str">
        <f t="shared" si="6"/>
        <v/>
      </c>
      <c r="F52" s="391"/>
      <c r="G52" s="391"/>
      <c r="H52" s="391"/>
      <c r="I52" s="390" t="s">
        <v>685</v>
      </c>
      <c r="J52" s="390" t="s">
        <v>650</v>
      </c>
      <c r="K52" s="390" t="s">
        <v>651</v>
      </c>
      <c r="L52" s="390" t="s">
        <v>621</v>
      </c>
      <c r="M52" s="390" t="s">
        <v>623</v>
      </c>
      <c r="N52" s="390" t="s">
        <v>652</v>
      </c>
      <c r="O52" s="390" t="s">
        <v>599</v>
      </c>
      <c r="P52" s="390" t="s">
        <v>682</v>
      </c>
      <c r="Q52" s="390" t="s">
        <v>653</v>
      </c>
      <c r="R52" s="400">
        <f>'Imp-Exp3'!E158</f>
        <v>0</v>
      </c>
      <c r="S52" s="392">
        <f>'Imp-Exp3'!F158</f>
        <v>0</v>
      </c>
      <c r="T52" s="392">
        <f>'Imp-Exp3'!G158</f>
        <v>0</v>
      </c>
      <c r="U52" s="392">
        <f>'Imp-Exp3'!H158</f>
        <v>0</v>
      </c>
      <c r="V52" s="392">
        <f>'Imp-Exp3'!I158</f>
        <v>0</v>
      </c>
      <c r="W52" s="392">
        <f>'Imp-Exp3'!J158</f>
        <v>0</v>
      </c>
      <c r="X52" s="392">
        <f>'Imp-Exp3'!K158</f>
        <v>0</v>
      </c>
      <c r="Y52" s="392">
        <f>'Imp-Exp3'!L158</f>
        <v>0</v>
      </c>
      <c r="Z52" s="398">
        <f>'Imp-Exp3'!E159/$Z$27</f>
        <v>0</v>
      </c>
      <c r="AA52" s="392">
        <f>'Imp-Exp3'!F159/$Z$27</f>
        <v>0</v>
      </c>
      <c r="AB52" s="392">
        <f>'Imp-Exp3'!G159/$Z$27</f>
        <v>0</v>
      </c>
      <c r="AC52" s="392">
        <f>'Imp-Exp3'!H159/$Z$27</f>
        <v>0</v>
      </c>
      <c r="AD52" s="392">
        <f>'Imp-Exp3'!I159/$Z$27</f>
        <v>0</v>
      </c>
      <c r="AE52" s="392">
        <f>'Imp-Exp3'!J159/$Z$27</f>
        <v>0</v>
      </c>
      <c r="AF52" s="392">
        <f>'Imp-Exp3'!K159/$Z$27</f>
        <v>0</v>
      </c>
      <c r="AG52" s="396">
        <f>'Imp-Exp3'!L159/$Z$27</f>
        <v>0</v>
      </c>
    </row>
    <row r="53" spans="2:33" x14ac:dyDescent="0.3">
      <c r="B53" s="387">
        <f t="shared" si="5"/>
        <v>0</v>
      </c>
      <c r="C53" s="387">
        <f t="shared" si="5"/>
        <v>0</v>
      </c>
      <c r="D53" s="390" t="s">
        <v>648</v>
      </c>
      <c r="E53" s="387" t="str">
        <f t="shared" si="6"/>
        <v/>
      </c>
      <c r="F53" s="391"/>
      <c r="G53" s="391"/>
      <c r="H53" s="391"/>
      <c r="I53" s="390" t="s">
        <v>685</v>
      </c>
      <c r="J53" s="390" t="s">
        <v>650</v>
      </c>
      <c r="K53" s="390" t="s">
        <v>651</v>
      </c>
      <c r="L53" s="390" t="s">
        <v>621</v>
      </c>
      <c r="M53" s="390" t="s">
        <v>623</v>
      </c>
      <c r="N53" s="390" t="s">
        <v>652</v>
      </c>
      <c r="O53" s="390" t="s">
        <v>601</v>
      </c>
      <c r="P53" s="390" t="s">
        <v>683</v>
      </c>
      <c r="Q53" s="390" t="s">
        <v>653</v>
      </c>
      <c r="R53" s="400">
        <f>'Imp-Exp3'!E163</f>
        <v>0</v>
      </c>
      <c r="S53" s="392">
        <f>'Imp-Exp3'!F163</f>
        <v>0</v>
      </c>
      <c r="T53" s="392">
        <f>'Imp-Exp3'!G163</f>
        <v>0</v>
      </c>
      <c r="U53" s="392">
        <f>'Imp-Exp3'!H163</f>
        <v>0</v>
      </c>
      <c r="V53" s="392">
        <f>'Imp-Exp3'!I163</f>
        <v>0</v>
      </c>
      <c r="W53" s="392">
        <f>'Imp-Exp3'!J163</f>
        <v>0</v>
      </c>
      <c r="X53" s="392">
        <f>'Imp-Exp3'!K163</f>
        <v>0</v>
      </c>
      <c r="Y53" s="392">
        <f>'Imp-Exp3'!L163</f>
        <v>0</v>
      </c>
      <c r="Z53" s="398">
        <f>'Imp-Exp3'!E164/$Z$27</f>
        <v>0</v>
      </c>
      <c r="AA53" s="392">
        <f>'Imp-Exp3'!F164/$Z$27</f>
        <v>0</v>
      </c>
      <c r="AB53" s="392">
        <f>'Imp-Exp3'!G164/$Z$27</f>
        <v>0</v>
      </c>
      <c r="AC53" s="392">
        <f>'Imp-Exp3'!H164/$Z$27</f>
        <v>0</v>
      </c>
      <c r="AD53" s="392">
        <f>'Imp-Exp3'!I164/$Z$27</f>
        <v>0</v>
      </c>
      <c r="AE53" s="392">
        <f>'Imp-Exp3'!J164/$Z$27</f>
        <v>0</v>
      </c>
      <c r="AF53" s="392">
        <f>'Imp-Exp3'!K164/$Z$27</f>
        <v>0</v>
      </c>
      <c r="AG53" s="396">
        <f>'Imp-Exp3'!L164/$Z$27</f>
        <v>0</v>
      </c>
    </row>
    <row r="54" spans="2:33" s="302" customFormat="1" x14ac:dyDescent="0.3">
      <c r="B54" s="387">
        <f t="shared" si="5"/>
        <v>0</v>
      </c>
      <c r="C54" s="387">
        <f t="shared" si="5"/>
        <v>0</v>
      </c>
      <c r="D54" s="387" t="s">
        <v>648</v>
      </c>
      <c r="E54" s="387" t="str">
        <f t="shared" si="6"/>
        <v/>
      </c>
      <c r="F54" s="388"/>
      <c r="G54" s="388"/>
      <c r="H54" s="388"/>
      <c r="I54" s="387" t="s">
        <v>685</v>
      </c>
      <c r="J54" s="387" t="s">
        <v>650</v>
      </c>
      <c r="K54" s="387" t="s">
        <v>651</v>
      </c>
      <c r="L54" s="387" t="s">
        <v>621</v>
      </c>
      <c r="M54" s="387" t="s">
        <v>623</v>
      </c>
      <c r="N54" s="387" t="s">
        <v>652</v>
      </c>
      <c r="O54" s="387" t="s">
        <v>593</v>
      </c>
      <c r="P54" s="387" t="s">
        <v>679</v>
      </c>
      <c r="Q54" s="387" t="s">
        <v>654</v>
      </c>
      <c r="R54" s="399">
        <f>'Imp-Exp3'!E204</f>
        <v>0</v>
      </c>
      <c r="S54" s="389">
        <f>'Imp-Exp3'!F204</f>
        <v>0</v>
      </c>
      <c r="T54" s="389">
        <f>'Imp-Exp3'!G204</f>
        <v>0</v>
      </c>
      <c r="U54" s="389">
        <f>'Imp-Exp3'!H204</f>
        <v>0</v>
      </c>
      <c r="V54" s="389">
        <f>'Imp-Exp3'!I204</f>
        <v>0</v>
      </c>
      <c r="W54" s="389">
        <f>'Imp-Exp3'!J204</f>
        <v>0</v>
      </c>
      <c r="X54" s="389">
        <f>'Imp-Exp3'!K204</f>
        <v>0</v>
      </c>
      <c r="Y54" s="389">
        <f>'Imp-Exp3'!L204</f>
        <v>0</v>
      </c>
      <c r="Z54" s="397">
        <f>'Imp-Exp3'!E205/$Z$27</f>
        <v>0</v>
      </c>
      <c r="AA54" s="389">
        <f>'Imp-Exp3'!F205/$Z$27</f>
        <v>0</v>
      </c>
      <c r="AB54" s="389">
        <f>'Imp-Exp3'!G205/$Z$27</f>
        <v>0</v>
      </c>
      <c r="AC54" s="389">
        <f>'Imp-Exp3'!H205/$Z$27</f>
        <v>0</v>
      </c>
      <c r="AD54" s="389">
        <f>'Imp-Exp3'!I205/$Z$27</f>
        <v>0</v>
      </c>
      <c r="AE54" s="389">
        <f>'Imp-Exp3'!J205/$Z$27</f>
        <v>0</v>
      </c>
      <c r="AF54" s="389">
        <f>'Imp-Exp3'!K205/$Z$27</f>
        <v>0</v>
      </c>
      <c r="AG54" s="395">
        <f>'Imp-Exp3'!L205/$Z$27</f>
        <v>0</v>
      </c>
    </row>
    <row r="55" spans="2:33" x14ac:dyDescent="0.3">
      <c r="B55" s="387">
        <f t="shared" si="5"/>
        <v>0</v>
      </c>
      <c r="C55" s="387">
        <f t="shared" si="5"/>
        <v>0</v>
      </c>
      <c r="D55" s="390" t="s">
        <v>648</v>
      </c>
      <c r="E55" s="387" t="str">
        <f t="shared" si="6"/>
        <v/>
      </c>
      <c r="F55" s="391"/>
      <c r="G55" s="391"/>
      <c r="H55" s="391"/>
      <c r="I55" s="390" t="s">
        <v>685</v>
      </c>
      <c r="J55" s="390" t="s">
        <v>650</v>
      </c>
      <c r="K55" s="390" t="s">
        <v>651</v>
      </c>
      <c r="L55" s="390" t="s">
        <v>621</v>
      </c>
      <c r="M55" s="390" t="s">
        <v>623</v>
      </c>
      <c r="N55" s="390" t="s">
        <v>652</v>
      </c>
      <c r="O55" s="390" t="s">
        <v>595</v>
      </c>
      <c r="P55" s="390" t="s">
        <v>680</v>
      </c>
      <c r="Q55" s="390" t="s">
        <v>654</v>
      </c>
      <c r="R55" s="400">
        <f>'Imp-Exp3'!E209</f>
        <v>0</v>
      </c>
      <c r="S55" s="392">
        <f>'Imp-Exp3'!F209</f>
        <v>0</v>
      </c>
      <c r="T55" s="392">
        <f>'Imp-Exp3'!G209</f>
        <v>0</v>
      </c>
      <c r="U55" s="392">
        <f>'Imp-Exp3'!H209</f>
        <v>0</v>
      </c>
      <c r="V55" s="392">
        <f>'Imp-Exp3'!I209</f>
        <v>0</v>
      </c>
      <c r="W55" s="392">
        <f>'Imp-Exp3'!J209</f>
        <v>0</v>
      </c>
      <c r="X55" s="392">
        <f>'Imp-Exp3'!K209</f>
        <v>0</v>
      </c>
      <c r="Y55" s="392">
        <f>'Imp-Exp3'!L209</f>
        <v>0</v>
      </c>
      <c r="Z55" s="398">
        <f>'Imp-Exp3'!E210/$Z$27</f>
        <v>0</v>
      </c>
      <c r="AA55" s="392">
        <f>'Imp-Exp3'!F210/$Z$27</f>
        <v>0</v>
      </c>
      <c r="AB55" s="392">
        <f>'Imp-Exp3'!G210/$Z$27</f>
        <v>0</v>
      </c>
      <c r="AC55" s="392">
        <f>'Imp-Exp3'!H210/$Z$27</f>
        <v>0</v>
      </c>
      <c r="AD55" s="392">
        <f>'Imp-Exp3'!I210/$Z$27</f>
        <v>0</v>
      </c>
      <c r="AE55" s="392">
        <f>'Imp-Exp3'!J210/$Z$27</f>
        <v>0</v>
      </c>
      <c r="AF55" s="392">
        <f>'Imp-Exp3'!K210/$Z$27</f>
        <v>0</v>
      </c>
      <c r="AG55" s="396">
        <f>'Imp-Exp3'!L210/$Z$27</f>
        <v>0</v>
      </c>
    </row>
    <row r="56" spans="2:33" x14ac:dyDescent="0.3">
      <c r="B56" s="387">
        <f t="shared" si="5"/>
        <v>0</v>
      </c>
      <c r="C56" s="387">
        <f t="shared" si="5"/>
        <v>0</v>
      </c>
      <c r="D56" s="390" t="s">
        <v>648</v>
      </c>
      <c r="E56" s="387" t="str">
        <f t="shared" si="6"/>
        <v/>
      </c>
      <c r="F56" s="391"/>
      <c r="G56" s="391"/>
      <c r="H56" s="391"/>
      <c r="I56" s="390" t="s">
        <v>685</v>
      </c>
      <c r="J56" s="390" t="s">
        <v>650</v>
      </c>
      <c r="K56" s="390" t="s">
        <v>651</v>
      </c>
      <c r="L56" s="390" t="s">
        <v>621</v>
      </c>
      <c r="M56" s="390" t="s">
        <v>623</v>
      </c>
      <c r="N56" s="390" t="s">
        <v>652</v>
      </c>
      <c r="O56" s="390" t="s">
        <v>597</v>
      </c>
      <c r="P56" s="390" t="s">
        <v>681</v>
      </c>
      <c r="Q56" s="390" t="s">
        <v>654</v>
      </c>
      <c r="R56" s="400">
        <f>'Imp-Exp3'!E214</f>
        <v>0</v>
      </c>
      <c r="S56" s="392">
        <f>'Imp-Exp3'!F214</f>
        <v>0</v>
      </c>
      <c r="T56" s="392">
        <f>'Imp-Exp3'!G214</f>
        <v>0</v>
      </c>
      <c r="U56" s="392">
        <f>'Imp-Exp3'!H214</f>
        <v>0</v>
      </c>
      <c r="V56" s="392">
        <f>'Imp-Exp3'!I214</f>
        <v>0</v>
      </c>
      <c r="W56" s="392">
        <f>'Imp-Exp3'!J214</f>
        <v>0</v>
      </c>
      <c r="X56" s="392">
        <f>'Imp-Exp3'!K214</f>
        <v>0</v>
      </c>
      <c r="Y56" s="392">
        <f>'Imp-Exp3'!L214</f>
        <v>0</v>
      </c>
      <c r="Z56" s="398">
        <f>'Imp-Exp3'!E215/$Z$27</f>
        <v>0</v>
      </c>
      <c r="AA56" s="392">
        <f>'Imp-Exp3'!F215/$Z$27</f>
        <v>0</v>
      </c>
      <c r="AB56" s="392">
        <f>'Imp-Exp3'!G215/$Z$27</f>
        <v>0</v>
      </c>
      <c r="AC56" s="392">
        <f>'Imp-Exp3'!H215/$Z$27</f>
        <v>0</v>
      </c>
      <c r="AD56" s="392">
        <f>'Imp-Exp3'!I215/$Z$27</f>
        <v>0</v>
      </c>
      <c r="AE56" s="392">
        <f>'Imp-Exp3'!J215/$Z$27</f>
        <v>0</v>
      </c>
      <c r="AF56" s="392">
        <f>'Imp-Exp3'!K215/$Z$27</f>
        <v>0</v>
      </c>
      <c r="AG56" s="396">
        <f>'Imp-Exp3'!L215/$Z$27</f>
        <v>0</v>
      </c>
    </row>
    <row r="57" spans="2:33" x14ac:dyDescent="0.3">
      <c r="B57" s="387">
        <f t="shared" ref="B57:C78" si="7">$B$16</f>
        <v>0</v>
      </c>
      <c r="C57" s="387">
        <f t="shared" si="7"/>
        <v>0</v>
      </c>
      <c r="D57" s="390" t="s">
        <v>648</v>
      </c>
      <c r="E57" s="387" t="str">
        <f t="shared" si="6"/>
        <v/>
      </c>
      <c r="F57" s="391"/>
      <c r="G57" s="391"/>
      <c r="H57" s="391"/>
      <c r="I57" s="390" t="s">
        <v>685</v>
      </c>
      <c r="J57" s="390" t="s">
        <v>650</v>
      </c>
      <c r="K57" s="390" t="s">
        <v>651</v>
      </c>
      <c r="L57" s="390" t="s">
        <v>621</v>
      </c>
      <c r="M57" s="390" t="s">
        <v>623</v>
      </c>
      <c r="N57" s="390" t="s">
        <v>652</v>
      </c>
      <c r="O57" s="390" t="s">
        <v>599</v>
      </c>
      <c r="P57" s="390" t="s">
        <v>682</v>
      </c>
      <c r="Q57" s="390" t="s">
        <v>654</v>
      </c>
      <c r="R57" s="400">
        <f>'Imp-Exp3'!E219</f>
        <v>0</v>
      </c>
      <c r="S57" s="392">
        <f>'Imp-Exp3'!F219</f>
        <v>0</v>
      </c>
      <c r="T57" s="392">
        <f>'Imp-Exp3'!G219</f>
        <v>0</v>
      </c>
      <c r="U57" s="392">
        <f>'Imp-Exp3'!H219</f>
        <v>0</v>
      </c>
      <c r="V57" s="392">
        <f>'Imp-Exp3'!I219</f>
        <v>0</v>
      </c>
      <c r="W57" s="392">
        <f>'Imp-Exp3'!J219</f>
        <v>0</v>
      </c>
      <c r="X57" s="392">
        <f>'Imp-Exp3'!K219</f>
        <v>0</v>
      </c>
      <c r="Y57" s="392">
        <f>'Imp-Exp3'!L219</f>
        <v>0</v>
      </c>
      <c r="Z57" s="398">
        <f>'Imp-Exp3'!E220/$Z$27</f>
        <v>0</v>
      </c>
      <c r="AA57" s="392">
        <f>'Imp-Exp3'!F220/$Z$27</f>
        <v>0</v>
      </c>
      <c r="AB57" s="392">
        <f>'Imp-Exp3'!G220/$Z$27</f>
        <v>0</v>
      </c>
      <c r="AC57" s="392">
        <f>'Imp-Exp3'!H220/$Z$27</f>
        <v>0</v>
      </c>
      <c r="AD57" s="392">
        <f>'Imp-Exp3'!I220/$Z$27</f>
        <v>0</v>
      </c>
      <c r="AE57" s="392">
        <f>'Imp-Exp3'!J220/$Z$27</f>
        <v>0</v>
      </c>
      <c r="AF57" s="392">
        <f>'Imp-Exp3'!K220/$Z$27</f>
        <v>0</v>
      </c>
      <c r="AG57" s="396">
        <f>'Imp-Exp3'!L220/$Z$27</f>
        <v>0</v>
      </c>
    </row>
    <row r="58" spans="2:33" x14ac:dyDescent="0.3">
      <c r="B58" s="387">
        <f t="shared" si="7"/>
        <v>0</v>
      </c>
      <c r="C58" s="387">
        <f t="shared" si="7"/>
        <v>0</v>
      </c>
      <c r="D58" s="390" t="s">
        <v>648</v>
      </c>
      <c r="E58" s="387" t="str">
        <f t="shared" si="6"/>
        <v/>
      </c>
      <c r="F58" s="391"/>
      <c r="G58" s="391"/>
      <c r="H58" s="391"/>
      <c r="I58" s="390" t="s">
        <v>685</v>
      </c>
      <c r="J58" s="390" t="s">
        <v>650</v>
      </c>
      <c r="K58" s="390" t="s">
        <v>651</v>
      </c>
      <c r="L58" s="390" t="s">
        <v>621</v>
      </c>
      <c r="M58" s="390" t="s">
        <v>623</v>
      </c>
      <c r="N58" s="390" t="s">
        <v>652</v>
      </c>
      <c r="O58" s="390" t="s">
        <v>601</v>
      </c>
      <c r="P58" s="390" t="s">
        <v>683</v>
      </c>
      <c r="Q58" s="390" t="s">
        <v>654</v>
      </c>
      <c r="R58" s="400">
        <f>'Imp-Exp3'!E224</f>
        <v>0</v>
      </c>
      <c r="S58" s="392">
        <f>'Imp-Exp3'!F224</f>
        <v>0</v>
      </c>
      <c r="T58" s="392">
        <f>'Imp-Exp3'!G224</f>
        <v>0</v>
      </c>
      <c r="U58" s="392">
        <f>'Imp-Exp3'!H224</f>
        <v>0</v>
      </c>
      <c r="V58" s="392">
        <f>'Imp-Exp3'!I224</f>
        <v>0</v>
      </c>
      <c r="W58" s="392">
        <f>'Imp-Exp3'!J224</f>
        <v>0</v>
      </c>
      <c r="X58" s="392">
        <f>'Imp-Exp3'!K224</f>
        <v>0</v>
      </c>
      <c r="Y58" s="392">
        <f>'Imp-Exp3'!L224</f>
        <v>0</v>
      </c>
      <c r="Z58" s="398">
        <f>'Imp-Exp3'!E225/$Z$27</f>
        <v>0</v>
      </c>
      <c r="AA58" s="392">
        <f>'Imp-Exp3'!F225/$Z$27</f>
        <v>0</v>
      </c>
      <c r="AB58" s="392">
        <f>'Imp-Exp3'!G225/$Z$27</f>
        <v>0</v>
      </c>
      <c r="AC58" s="392">
        <f>'Imp-Exp3'!H225/$Z$27</f>
        <v>0</v>
      </c>
      <c r="AD58" s="392">
        <f>'Imp-Exp3'!I225/$Z$27</f>
        <v>0</v>
      </c>
      <c r="AE58" s="392">
        <f>'Imp-Exp3'!J225/$Z$27</f>
        <v>0</v>
      </c>
      <c r="AF58" s="392">
        <f>'Imp-Exp3'!K225/$Z$27</f>
        <v>0</v>
      </c>
      <c r="AG58" s="396">
        <f>'Imp-Exp3'!L225/$Z$27</f>
        <v>0</v>
      </c>
    </row>
    <row r="59" spans="2:33" s="302" customFormat="1" x14ac:dyDescent="0.3">
      <c r="B59" s="387">
        <f t="shared" si="7"/>
        <v>0</v>
      </c>
      <c r="C59" s="387">
        <f t="shared" si="7"/>
        <v>0</v>
      </c>
      <c r="D59" s="387" t="s">
        <v>648</v>
      </c>
      <c r="E59" s="387" t="str">
        <f t="shared" si="6"/>
        <v/>
      </c>
      <c r="F59" s="388"/>
      <c r="G59" s="388"/>
      <c r="H59" s="388"/>
      <c r="I59" s="387" t="s">
        <v>655</v>
      </c>
      <c r="J59" s="387" t="s">
        <v>656</v>
      </c>
      <c r="K59" s="387" t="s">
        <v>657</v>
      </c>
      <c r="L59" s="387" t="s">
        <v>658</v>
      </c>
      <c r="M59" s="387" t="s">
        <v>623</v>
      </c>
      <c r="N59" s="387" t="s">
        <v>659</v>
      </c>
      <c r="O59" s="387" t="s">
        <v>593</v>
      </c>
      <c r="P59" s="387" t="s">
        <v>679</v>
      </c>
      <c r="Q59" s="387" t="s">
        <v>653</v>
      </c>
      <c r="R59" s="399">
        <f>'Imp-US'!E143</f>
        <v>0</v>
      </c>
      <c r="S59" s="389">
        <f>'Imp-US'!F143</f>
        <v>0</v>
      </c>
      <c r="T59" s="389">
        <f>'Imp-US'!G143</f>
        <v>0</v>
      </c>
      <c r="U59" s="389">
        <f>'Imp-US'!H143</f>
        <v>0</v>
      </c>
      <c r="V59" s="389">
        <f>'Imp-US'!I143</f>
        <v>0</v>
      </c>
      <c r="W59" s="389">
        <f>'Imp-US'!J143</f>
        <v>0</v>
      </c>
      <c r="X59" s="389">
        <f>'Imp-US'!K143</f>
        <v>0</v>
      </c>
      <c r="Y59" s="389">
        <f>'Imp-US'!L143</f>
        <v>0</v>
      </c>
      <c r="Z59" s="397">
        <f>'Imp-US'!E144/$Z$27</f>
        <v>0</v>
      </c>
      <c r="AA59" s="389">
        <f>'Imp-US'!F144/$Z$27</f>
        <v>0</v>
      </c>
      <c r="AB59" s="389">
        <f>'Imp-US'!G144/$Z$27</f>
        <v>0</v>
      </c>
      <c r="AC59" s="389">
        <f>'Imp-US'!H144/$Z$27</f>
        <v>0</v>
      </c>
      <c r="AD59" s="389">
        <f>'Imp-US'!I144/$Z$27</f>
        <v>0</v>
      </c>
      <c r="AE59" s="389">
        <f>'Imp-US'!J144/$Z$27</f>
        <v>0</v>
      </c>
      <c r="AF59" s="389">
        <f>'Imp-US'!K144/$Z$27</f>
        <v>0</v>
      </c>
      <c r="AG59" s="395">
        <f>'Imp-US'!L144/$Z$27</f>
        <v>0</v>
      </c>
    </row>
    <row r="60" spans="2:33" x14ac:dyDescent="0.3">
      <c r="B60" s="387">
        <f t="shared" si="7"/>
        <v>0</v>
      </c>
      <c r="C60" s="387">
        <f t="shared" si="7"/>
        <v>0</v>
      </c>
      <c r="D60" s="390" t="s">
        <v>648</v>
      </c>
      <c r="E60" s="387" t="str">
        <f t="shared" si="6"/>
        <v/>
      </c>
      <c r="F60" s="391"/>
      <c r="G60" s="391"/>
      <c r="H60" s="391"/>
      <c r="I60" s="390" t="s">
        <v>655</v>
      </c>
      <c r="J60" s="390" t="s">
        <v>656</v>
      </c>
      <c r="K60" s="390" t="s">
        <v>657</v>
      </c>
      <c r="L60" s="390" t="s">
        <v>658</v>
      </c>
      <c r="M60" s="390" t="s">
        <v>623</v>
      </c>
      <c r="N60" s="390" t="s">
        <v>659</v>
      </c>
      <c r="O60" s="390" t="s">
        <v>595</v>
      </c>
      <c r="P60" s="390" t="s">
        <v>680</v>
      </c>
      <c r="Q60" s="390" t="s">
        <v>653</v>
      </c>
      <c r="R60" s="400">
        <f>'Imp-US'!E148</f>
        <v>0</v>
      </c>
      <c r="S60" s="392">
        <f>'Imp-US'!F148</f>
        <v>0</v>
      </c>
      <c r="T60" s="392">
        <f>'Imp-US'!G148</f>
        <v>0</v>
      </c>
      <c r="U60" s="392">
        <f>'Imp-US'!H148</f>
        <v>0</v>
      </c>
      <c r="V60" s="392">
        <f>'Imp-US'!I148</f>
        <v>0</v>
      </c>
      <c r="W60" s="392">
        <f>'Imp-US'!J148</f>
        <v>0</v>
      </c>
      <c r="X60" s="392">
        <f>'Imp-US'!K148</f>
        <v>0</v>
      </c>
      <c r="Y60" s="392">
        <f>'Imp-US'!L148</f>
        <v>0</v>
      </c>
      <c r="Z60" s="398">
        <f>'Imp-US'!E149/$Z$27</f>
        <v>0</v>
      </c>
      <c r="AA60" s="392">
        <f>'Imp-US'!F149/$Z$27</f>
        <v>0</v>
      </c>
      <c r="AB60" s="392">
        <f>'Imp-US'!G149/$Z$27</f>
        <v>0</v>
      </c>
      <c r="AC60" s="392">
        <f>'Imp-US'!H149/$Z$27</f>
        <v>0</v>
      </c>
      <c r="AD60" s="392">
        <f>'Imp-US'!I149/$Z$27</f>
        <v>0</v>
      </c>
      <c r="AE60" s="392">
        <f>'Imp-US'!J149/$Z$27</f>
        <v>0</v>
      </c>
      <c r="AF60" s="392">
        <f>'Imp-US'!K149/$Z$27</f>
        <v>0</v>
      </c>
      <c r="AG60" s="396">
        <f>'Imp-US'!L149/$Z$27</f>
        <v>0</v>
      </c>
    </row>
    <row r="61" spans="2:33" x14ac:dyDescent="0.3">
      <c r="B61" s="387">
        <f t="shared" si="7"/>
        <v>0</v>
      </c>
      <c r="C61" s="387">
        <f t="shared" si="7"/>
        <v>0</v>
      </c>
      <c r="D61" s="390" t="s">
        <v>648</v>
      </c>
      <c r="E61" s="387" t="str">
        <f t="shared" si="6"/>
        <v/>
      </c>
      <c r="F61" s="391"/>
      <c r="G61" s="391"/>
      <c r="H61" s="391"/>
      <c r="I61" s="390" t="s">
        <v>655</v>
      </c>
      <c r="J61" s="390" t="s">
        <v>656</v>
      </c>
      <c r="K61" s="390" t="s">
        <v>657</v>
      </c>
      <c r="L61" s="390" t="s">
        <v>658</v>
      </c>
      <c r="M61" s="390" t="s">
        <v>623</v>
      </c>
      <c r="N61" s="390" t="s">
        <v>659</v>
      </c>
      <c r="O61" s="390" t="s">
        <v>597</v>
      </c>
      <c r="P61" s="390" t="s">
        <v>681</v>
      </c>
      <c r="Q61" s="390" t="s">
        <v>653</v>
      </c>
      <c r="R61" s="400">
        <f>'Imp-US'!E153</f>
        <v>0</v>
      </c>
      <c r="S61" s="392">
        <f>'Imp-US'!F153</f>
        <v>0</v>
      </c>
      <c r="T61" s="392">
        <f>'Imp-US'!G153</f>
        <v>0</v>
      </c>
      <c r="U61" s="392">
        <f>'Imp-US'!H153</f>
        <v>0</v>
      </c>
      <c r="V61" s="392">
        <f>'Imp-US'!I153</f>
        <v>0</v>
      </c>
      <c r="W61" s="392">
        <f>'Imp-US'!J153</f>
        <v>0</v>
      </c>
      <c r="X61" s="392">
        <f>'Imp-US'!K153</f>
        <v>0</v>
      </c>
      <c r="Y61" s="392">
        <f>'Imp-US'!L153</f>
        <v>0</v>
      </c>
      <c r="Z61" s="398">
        <f>'Imp-US'!E154/$Z$27</f>
        <v>0</v>
      </c>
      <c r="AA61" s="392">
        <f>'Imp-US'!F154/$Z$27</f>
        <v>0</v>
      </c>
      <c r="AB61" s="392">
        <f>'Imp-US'!G154/$Z$27</f>
        <v>0</v>
      </c>
      <c r="AC61" s="392">
        <f>'Imp-US'!H154/$Z$27</f>
        <v>0</v>
      </c>
      <c r="AD61" s="392">
        <f>'Imp-US'!I154/$Z$27</f>
        <v>0</v>
      </c>
      <c r="AE61" s="392">
        <f>'Imp-US'!J154/$Z$27</f>
        <v>0</v>
      </c>
      <c r="AF61" s="392">
        <f>'Imp-US'!K154/$Z$27</f>
        <v>0</v>
      </c>
      <c r="AG61" s="396">
        <f>'Imp-US'!L154/$Z$27</f>
        <v>0</v>
      </c>
    </row>
    <row r="62" spans="2:33" x14ac:dyDescent="0.3">
      <c r="B62" s="387">
        <f t="shared" si="7"/>
        <v>0</v>
      </c>
      <c r="C62" s="387">
        <f t="shared" si="7"/>
        <v>0</v>
      </c>
      <c r="D62" s="390" t="s">
        <v>648</v>
      </c>
      <c r="E62" s="387" t="str">
        <f t="shared" si="6"/>
        <v/>
      </c>
      <c r="F62" s="391"/>
      <c r="G62" s="391"/>
      <c r="H62" s="391"/>
      <c r="I62" s="390" t="s">
        <v>655</v>
      </c>
      <c r="J62" s="390" t="s">
        <v>656</v>
      </c>
      <c r="K62" s="390" t="s">
        <v>657</v>
      </c>
      <c r="L62" s="390" t="s">
        <v>658</v>
      </c>
      <c r="M62" s="390" t="s">
        <v>623</v>
      </c>
      <c r="N62" s="390" t="s">
        <v>659</v>
      </c>
      <c r="O62" s="390" t="s">
        <v>599</v>
      </c>
      <c r="P62" s="390" t="s">
        <v>682</v>
      </c>
      <c r="Q62" s="390" t="s">
        <v>653</v>
      </c>
      <c r="R62" s="400">
        <f>'Imp-US'!E158</f>
        <v>0</v>
      </c>
      <c r="S62" s="392">
        <f>'Imp-US'!F158</f>
        <v>0</v>
      </c>
      <c r="T62" s="392">
        <f>'Imp-US'!G158</f>
        <v>0</v>
      </c>
      <c r="U62" s="392">
        <f>'Imp-US'!H158</f>
        <v>0</v>
      </c>
      <c r="V62" s="392">
        <f>'Imp-US'!I158</f>
        <v>0</v>
      </c>
      <c r="W62" s="392">
        <f>'Imp-US'!J158</f>
        <v>0</v>
      </c>
      <c r="X62" s="392">
        <f>'Imp-US'!K158</f>
        <v>0</v>
      </c>
      <c r="Y62" s="392">
        <f>'Imp-US'!L158</f>
        <v>0</v>
      </c>
      <c r="Z62" s="398">
        <f>'Imp-US'!E159/$Z$27</f>
        <v>0</v>
      </c>
      <c r="AA62" s="392">
        <f>'Imp-US'!F159/$Z$27</f>
        <v>0</v>
      </c>
      <c r="AB62" s="392">
        <f>'Imp-US'!G159/$Z$27</f>
        <v>0</v>
      </c>
      <c r="AC62" s="392">
        <f>'Imp-US'!H159/$Z$27</f>
        <v>0</v>
      </c>
      <c r="AD62" s="392">
        <f>'Imp-US'!I159/$Z$27</f>
        <v>0</v>
      </c>
      <c r="AE62" s="392">
        <f>'Imp-US'!J159/$Z$27</f>
        <v>0</v>
      </c>
      <c r="AF62" s="392">
        <f>'Imp-US'!K159/$Z$27</f>
        <v>0</v>
      </c>
      <c r="AG62" s="396">
        <f>'Imp-US'!L159/$Z$27</f>
        <v>0</v>
      </c>
    </row>
    <row r="63" spans="2:33" x14ac:dyDescent="0.3">
      <c r="B63" s="387">
        <f t="shared" si="7"/>
        <v>0</v>
      </c>
      <c r="C63" s="387">
        <f t="shared" si="7"/>
        <v>0</v>
      </c>
      <c r="D63" s="390" t="s">
        <v>648</v>
      </c>
      <c r="E63" s="387" t="str">
        <f t="shared" si="6"/>
        <v/>
      </c>
      <c r="F63" s="391"/>
      <c r="G63" s="391"/>
      <c r="H63" s="391"/>
      <c r="I63" s="390" t="s">
        <v>655</v>
      </c>
      <c r="J63" s="390" t="s">
        <v>656</v>
      </c>
      <c r="K63" s="390" t="s">
        <v>657</v>
      </c>
      <c r="L63" s="390" t="s">
        <v>658</v>
      </c>
      <c r="M63" s="390" t="s">
        <v>623</v>
      </c>
      <c r="N63" s="390" t="s">
        <v>659</v>
      </c>
      <c r="O63" s="390" t="s">
        <v>601</v>
      </c>
      <c r="P63" s="390" t="s">
        <v>683</v>
      </c>
      <c r="Q63" s="390" t="s">
        <v>653</v>
      </c>
      <c r="R63" s="400">
        <f>'Imp-US'!E163</f>
        <v>0</v>
      </c>
      <c r="S63" s="392">
        <f>'Imp-US'!F163</f>
        <v>0</v>
      </c>
      <c r="T63" s="392">
        <f>'Imp-US'!G163</f>
        <v>0</v>
      </c>
      <c r="U63" s="392">
        <f>'Imp-US'!H163</f>
        <v>0</v>
      </c>
      <c r="V63" s="392">
        <f>'Imp-US'!I163</f>
        <v>0</v>
      </c>
      <c r="W63" s="392">
        <f>'Imp-US'!J163</f>
        <v>0</v>
      </c>
      <c r="X63" s="392">
        <f>'Imp-US'!K163</f>
        <v>0</v>
      </c>
      <c r="Y63" s="392">
        <f>'Imp-US'!L163</f>
        <v>0</v>
      </c>
      <c r="Z63" s="398">
        <f>'Imp-US'!E164/$Z$27</f>
        <v>0</v>
      </c>
      <c r="AA63" s="392">
        <f>'Imp-US'!F164/$Z$27</f>
        <v>0</v>
      </c>
      <c r="AB63" s="392">
        <f>'Imp-US'!G164/$Z$27</f>
        <v>0</v>
      </c>
      <c r="AC63" s="392">
        <f>'Imp-US'!H164/$Z$27</f>
        <v>0</v>
      </c>
      <c r="AD63" s="392">
        <f>'Imp-US'!I164/$Z$27</f>
        <v>0</v>
      </c>
      <c r="AE63" s="392">
        <f>'Imp-US'!J164/$Z$27</f>
        <v>0</v>
      </c>
      <c r="AF63" s="392">
        <f>'Imp-US'!K164/$Z$27</f>
        <v>0</v>
      </c>
      <c r="AG63" s="396">
        <f>'Imp-US'!L164/$Z$27</f>
        <v>0</v>
      </c>
    </row>
    <row r="64" spans="2:33" s="302" customFormat="1" x14ac:dyDescent="0.3">
      <c r="B64" s="387">
        <f t="shared" si="7"/>
        <v>0</v>
      </c>
      <c r="C64" s="387">
        <f t="shared" si="7"/>
        <v>0</v>
      </c>
      <c r="D64" s="387" t="s">
        <v>648</v>
      </c>
      <c r="E64" s="387" t="str">
        <f t="shared" si="6"/>
        <v/>
      </c>
      <c r="F64" s="388"/>
      <c r="G64" s="388"/>
      <c r="H64" s="388"/>
      <c r="I64" s="387" t="s">
        <v>655</v>
      </c>
      <c r="J64" s="387" t="s">
        <v>656</v>
      </c>
      <c r="K64" s="387" t="s">
        <v>657</v>
      </c>
      <c r="L64" s="387" t="s">
        <v>658</v>
      </c>
      <c r="M64" s="387" t="s">
        <v>623</v>
      </c>
      <c r="N64" s="387" t="s">
        <v>659</v>
      </c>
      <c r="O64" s="387" t="s">
        <v>593</v>
      </c>
      <c r="P64" s="387" t="s">
        <v>679</v>
      </c>
      <c r="Q64" s="387" t="s">
        <v>654</v>
      </c>
      <c r="R64" s="399">
        <f>'Imp-US'!E204</f>
        <v>0</v>
      </c>
      <c r="S64" s="389">
        <f>'Imp-US'!F204</f>
        <v>0</v>
      </c>
      <c r="T64" s="389">
        <f>'Imp-US'!G204</f>
        <v>0</v>
      </c>
      <c r="U64" s="389">
        <f>'Imp-US'!H204</f>
        <v>0</v>
      </c>
      <c r="V64" s="389">
        <f>'Imp-US'!I204</f>
        <v>0</v>
      </c>
      <c r="W64" s="389">
        <f>'Imp-US'!J204</f>
        <v>0</v>
      </c>
      <c r="X64" s="389">
        <f>'Imp-US'!K204</f>
        <v>0</v>
      </c>
      <c r="Y64" s="389">
        <f>'Imp-US'!L204</f>
        <v>0</v>
      </c>
      <c r="Z64" s="397">
        <f>'Imp-US'!E205/$Z$27</f>
        <v>0</v>
      </c>
      <c r="AA64" s="389">
        <f>'Imp-US'!F205/$Z$27</f>
        <v>0</v>
      </c>
      <c r="AB64" s="389">
        <f>'Imp-US'!G205/$Z$27</f>
        <v>0</v>
      </c>
      <c r="AC64" s="389">
        <f>'Imp-US'!H205/$Z$27</f>
        <v>0</v>
      </c>
      <c r="AD64" s="389">
        <f>'Imp-US'!I205/$Z$27</f>
        <v>0</v>
      </c>
      <c r="AE64" s="389">
        <f>'Imp-US'!J205/$Z$27</f>
        <v>0</v>
      </c>
      <c r="AF64" s="389">
        <f>'Imp-US'!K205/$Z$27</f>
        <v>0</v>
      </c>
      <c r="AG64" s="395">
        <f>'Imp-US'!L205/$Z$27</f>
        <v>0</v>
      </c>
    </row>
    <row r="65" spans="2:33" x14ac:dyDescent="0.3">
      <c r="B65" s="387">
        <f t="shared" si="7"/>
        <v>0</v>
      </c>
      <c r="C65" s="387">
        <f t="shared" si="7"/>
        <v>0</v>
      </c>
      <c r="D65" s="390" t="s">
        <v>648</v>
      </c>
      <c r="E65" s="387" t="str">
        <f t="shared" si="6"/>
        <v/>
      </c>
      <c r="F65" s="391"/>
      <c r="G65" s="391"/>
      <c r="H65" s="391"/>
      <c r="I65" s="390" t="s">
        <v>655</v>
      </c>
      <c r="J65" s="390" t="s">
        <v>656</v>
      </c>
      <c r="K65" s="390" t="s">
        <v>657</v>
      </c>
      <c r="L65" s="390" t="s">
        <v>658</v>
      </c>
      <c r="M65" s="390" t="s">
        <v>623</v>
      </c>
      <c r="N65" s="390" t="s">
        <v>659</v>
      </c>
      <c r="O65" s="390" t="s">
        <v>595</v>
      </c>
      <c r="P65" s="390" t="s">
        <v>680</v>
      </c>
      <c r="Q65" s="390" t="s">
        <v>654</v>
      </c>
      <c r="R65" s="400">
        <f>'Imp-US'!E209</f>
        <v>0</v>
      </c>
      <c r="S65" s="392">
        <f>'Imp-US'!F209</f>
        <v>0</v>
      </c>
      <c r="T65" s="392">
        <f>'Imp-US'!G209</f>
        <v>0</v>
      </c>
      <c r="U65" s="392">
        <f>'Imp-US'!H209</f>
        <v>0</v>
      </c>
      <c r="V65" s="392">
        <f>'Imp-US'!I209</f>
        <v>0</v>
      </c>
      <c r="W65" s="392">
        <f>'Imp-US'!J209</f>
        <v>0</v>
      </c>
      <c r="X65" s="392">
        <f>'Imp-US'!K209</f>
        <v>0</v>
      </c>
      <c r="Y65" s="392">
        <f>'Imp-US'!L209</f>
        <v>0</v>
      </c>
      <c r="Z65" s="398">
        <f>'Imp-US'!E210/$Z$27</f>
        <v>0</v>
      </c>
      <c r="AA65" s="392">
        <f>'Imp-US'!F210/$Z$27</f>
        <v>0</v>
      </c>
      <c r="AB65" s="392">
        <f>'Imp-US'!G210/$Z$27</f>
        <v>0</v>
      </c>
      <c r="AC65" s="392">
        <f>'Imp-US'!H210/$Z$27</f>
        <v>0</v>
      </c>
      <c r="AD65" s="392">
        <f>'Imp-US'!I210/$Z$27</f>
        <v>0</v>
      </c>
      <c r="AE65" s="392">
        <f>'Imp-US'!J210/$Z$27</f>
        <v>0</v>
      </c>
      <c r="AF65" s="392">
        <f>'Imp-US'!K210/$Z$27</f>
        <v>0</v>
      </c>
      <c r="AG65" s="396">
        <f>'Imp-US'!L210/$Z$27</f>
        <v>0</v>
      </c>
    </row>
    <row r="66" spans="2:33" x14ac:dyDescent="0.3">
      <c r="B66" s="387">
        <f t="shared" si="7"/>
        <v>0</v>
      </c>
      <c r="C66" s="387">
        <f t="shared" si="7"/>
        <v>0</v>
      </c>
      <c r="D66" s="390" t="s">
        <v>648</v>
      </c>
      <c r="E66" s="387" t="str">
        <f t="shared" si="6"/>
        <v/>
      </c>
      <c r="F66" s="391"/>
      <c r="G66" s="391"/>
      <c r="H66" s="391"/>
      <c r="I66" s="390" t="s">
        <v>655</v>
      </c>
      <c r="J66" s="390" t="s">
        <v>656</v>
      </c>
      <c r="K66" s="390" t="s">
        <v>657</v>
      </c>
      <c r="L66" s="390" t="s">
        <v>658</v>
      </c>
      <c r="M66" s="390" t="s">
        <v>623</v>
      </c>
      <c r="N66" s="390" t="s">
        <v>659</v>
      </c>
      <c r="O66" s="390" t="s">
        <v>597</v>
      </c>
      <c r="P66" s="390" t="s">
        <v>681</v>
      </c>
      <c r="Q66" s="390" t="s">
        <v>654</v>
      </c>
      <c r="R66" s="400">
        <f>'Imp-US'!E214</f>
        <v>0</v>
      </c>
      <c r="S66" s="392">
        <f>'Imp-US'!F214</f>
        <v>0</v>
      </c>
      <c r="T66" s="392">
        <f>'Imp-US'!G214</f>
        <v>0</v>
      </c>
      <c r="U66" s="392">
        <f>'Imp-US'!H214</f>
        <v>0</v>
      </c>
      <c r="V66" s="392">
        <f>'Imp-US'!I214</f>
        <v>0</v>
      </c>
      <c r="W66" s="392">
        <f>'Imp-US'!J214</f>
        <v>0</v>
      </c>
      <c r="X66" s="392">
        <f>'Imp-US'!K214</f>
        <v>0</v>
      </c>
      <c r="Y66" s="392">
        <f>'Imp-US'!L214</f>
        <v>0</v>
      </c>
      <c r="Z66" s="398">
        <f>'Imp-US'!E215/$Z$27</f>
        <v>0</v>
      </c>
      <c r="AA66" s="392">
        <f>'Imp-US'!F215/$Z$27</f>
        <v>0</v>
      </c>
      <c r="AB66" s="392">
        <f>'Imp-US'!G215/$Z$27</f>
        <v>0</v>
      </c>
      <c r="AC66" s="392">
        <f>'Imp-US'!H215/$Z$27</f>
        <v>0</v>
      </c>
      <c r="AD66" s="392">
        <f>'Imp-US'!I215/$Z$27</f>
        <v>0</v>
      </c>
      <c r="AE66" s="392">
        <f>'Imp-US'!J215/$Z$27</f>
        <v>0</v>
      </c>
      <c r="AF66" s="392">
        <f>'Imp-US'!K215/$Z$27</f>
        <v>0</v>
      </c>
      <c r="AG66" s="396">
        <f>'Imp-US'!L215/$Z$27</f>
        <v>0</v>
      </c>
    </row>
    <row r="67" spans="2:33" x14ac:dyDescent="0.3">
      <c r="B67" s="387">
        <f t="shared" si="7"/>
        <v>0</v>
      </c>
      <c r="C67" s="387">
        <f t="shared" si="7"/>
        <v>0</v>
      </c>
      <c r="D67" s="390" t="s">
        <v>648</v>
      </c>
      <c r="E67" s="387" t="str">
        <f t="shared" si="6"/>
        <v/>
      </c>
      <c r="F67" s="391"/>
      <c r="G67" s="391"/>
      <c r="H67" s="391"/>
      <c r="I67" s="390" t="s">
        <v>655</v>
      </c>
      <c r="J67" s="390" t="s">
        <v>656</v>
      </c>
      <c r="K67" s="390" t="s">
        <v>657</v>
      </c>
      <c r="L67" s="390" t="s">
        <v>658</v>
      </c>
      <c r="M67" s="390" t="s">
        <v>623</v>
      </c>
      <c r="N67" s="390" t="s">
        <v>659</v>
      </c>
      <c r="O67" s="390" t="s">
        <v>599</v>
      </c>
      <c r="P67" s="390" t="s">
        <v>682</v>
      </c>
      <c r="Q67" s="390" t="s">
        <v>654</v>
      </c>
      <c r="R67" s="400">
        <f>'Imp-US'!E219</f>
        <v>0</v>
      </c>
      <c r="S67" s="392">
        <f>'Imp-US'!F219</f>
        <v>0</v>
      </c>
      <c r="T67" s="392">
        <f>'Imp-US'!G219</f>
        <v>0</v>
      </c>
      <c r="U67" s="392">
        <f>'Imp-US'!H219</f>
        <v>0</v>
      </c>
      <c r="V67" s="392">
        <f>'Imp-US'!I219</f>
        <v>0</v>
      </c>
      <c r="W67" s="392">
        <f>'Imp-US'!J219</f>
        <v>0</v>
      </c>
      <c r="X67" s="392">
        <f>'Imp-US'!K219</f>
        <v>0</v>
      </c>
      <c r="Y67" s="392">
        <f>'Imp-US'!L219</f>
        <v>0</v>
      </c>
      <c r="Z67" s="398">
        <f>'Imp-US'!E220/$Z$27</f>
        <v>0</v>
      </c>
      <c r="AA67" s="392">
        <f>'Imp-US'!F220/$Z$27</f>
        <v>0</v>
      </c>
      <c r="AB67" s="392">
        <f>'Imp-US'!G220/$Z$27</f>
        <v>0</v>
      </c>
      <c r="AC67" s="392">
        <f>'Imp-US'!H220/$Z$27</f>
        <v>0</v>
      </c>
      <c r="AD67" s="392">
        <f>'Imp-US'!I220/$Z$27</f>
        <v>0</v>
      </c>
      <c r="AE67" s="392">
        <f>'Imp-US'!J220/$Z$27</f>
        <v>0</v>
      </c>
      <c r="AF67" s="392">
        <f>'Imp-US'!K220/$Z$27</f>
        <v>0</v>
      </c>
      <c r="AG67" s="396">
        <f>'Imp-US'!L220/$Z$27</f>
        <v>0</v>
      </c>
    </row>
    <row r="68" spans="2:33" x14ac:dyDescent="0.3">
      <c r="B68" s="387">
        <f t="shared" si="7"/>
        <v>0</v>
      </c>
      <c r="C68" s="387">
        <f t="shared" si="7"/>
        <v>0</v>
      </c>
      <c r="D68" s="390" t="s">
        <v>648</v>
      </c>
      <c r="E68" s="387" t="str">
        <f t="shared" si="6"/>
        <v/>
      </c>
      <c r="F68" s="391"/>
      <c r="G68" s="391"/>
      <c r="H68" s="391"/>
      <c r="I68" s="390" t="s">
        <v>655</v>
      </c>
      <c r="J68" s="390" t="s">
        <v>656</v>
      </c>
      <c r="K68" s="390" t="s">
        <v>657</v>
      </c>
      <c r="L68" s="390" t="s">
        <v>658</v>
      </c>
      <c r="M68" s="390" t="s">
        <v>623</v>
      </c>
      <c r="N68" s="390" t="s">
        <v>659</v>
      </c>
      <c r="O68" s="390" t="s">
        <v>601</v>
      </c>
      <c r="P68" s="390" t="s">
        <v>683</v>
      </c>
      <c r="Q68" s="390" t="s">
        <v>654</v>
      </c>
      <c r="R68" s="400">
        <f>'Imp-US'!E224</f>
        <v>0</v>
      </c>
      <c r="S68" s="392">
        <f>'Imp-US'!F224</f>
        <v>0</v>
      </c>
      <c r="T68" s="392">
        <f>'Imp-US'!G224</f>
        <v>0</v>
      </c>
      <c r="U68" s="392">
        <f>'Imp-US'!H224</f>
        <v>0</v>
      </c>
      <c r="V68" s="392">
        <f>'Imp-US'!I224</f>
        <v>0</v>
      </c>
      <c r="W68" s="392">
        <f>'Imp-US'!J224</f>
        <v>0</v>
      </c>
      <c r="X68" s="392">
        <f>'Imp-US'!K224</f>
        <v>0</v>
      </c>
      <c r="Y68" s="392">
        <f>'Imp-US'!L224</f>
        <v>0</v>
      </c>
      <c r="Z68" s="398">
        <f>'Imp-US'!E225/$Z$27</f>
        <v>0</v>
      </c>
      <c r="AA68" s="392">
        <f>'Imp-US'!F225/$Z$27</f>
        <v>0</v>
      </c>
      <c r="AB68" s="392">
        <f>'Imp-US'!G225/$Z$27</f>
        <v>0</v>
      </c>
      <c r="AC68" s="392">
        <f>'Imp-US'!H225/$Z$27</f>
        <v>0</v>
      </c>
      <c r="AD68" s="392">
        <f>'Imp-US'!I225/$Z$27</f>
        <v>0</v>
      </c>
      <c r="AE68" s="392">
        <f>'Imp-US'!J225/$Z$27</f>
        <v>0</v>
      </c>
      <c r="AF68" s="392">
        <f>'Imp-US'!K225/$Z$27</f>
        <v>0</v>
      </c>
      <c r="AG68" s="396">
        <f>'Imp-US'!L225/$Z$27</f>
        <v>0</v>
      </c>
    </row>
    <row r="69" spans="2:33" s="302" customFormat="1" x14ac:dyDescent="0.3">
      <c r="B69" s="387">
        <f t="shared" si="7"/>
        <v>0</v>
      </c>
      <c r="C69" s="387">
        <f t="shared" si="7"/>
        <v>0</v>
      </c>
      <c r="D69" s="387" t="s">
        <v>648</v>
      </c>
      <c r="E69" s="387" t="str">
        <f t="shared" si="6"/>
        <v/>
      </c>
      <c r="F69" s="388"/>
      <c r="G69" s="388"/>
      <c r="H69" s="388"/>
      <c r="I69" s="393" t="s">
        <v>768</v>
      </c>
      <c r="J69" s="387" t="s">
        <v>656</v>
      </c>
      <c r="K69" s="387" t="s">
        <v>686</v>
      </c>
      <c r="L69" s="387" t="s">
        <v>626</v>
      </c>
      <c r="M69" s="387">
        <f>'Imp-Other-Autre'!$D$23</f>
        <v>0</v>
      </c>
      <c r="N69" s="387" t="s">
        <v>659</v>
      </c>
      <c r="O69" s="387" t="s">
        <v>593</v>
      </c>
      <c r="P69" s="387" t="s">
        <v>679</v>
      </c>
      <c r="Q69" s="387" t="s">
        <v>653</v>
      </c>
      <c r="R69" s="399">
        <f>'Imp-Other-Autre'!E143</f>
        <v>0</v>
      </c>
      <c r="S69" s="389">
        <f>'Imp-Other-Autre'!F143</f>
        <v>0</v>
      </c>
      <c r="T69" s="389">
        <f>'Imp-Other-Autre'!G143</f>
        <v>0</v>
      </c>
      <c r="U69" s="389">
        <f>'Imp-Other-Autre'!H143</f>
        <v>0</v>
      </c>
      <c r="V69" s="389">
        <f>'Imp-Other-Autre'!I143</f>
        <v>0</v>
      </c>
      <c r="W69" s="389">
        <f>'Imp-Other-Autre'!J143</f>
        <v>0</v>
      </c>
      <c r="X69" s="389">
        <f>'Imp-Other-Autre'!K143</f>
        <v>0</v>
      </c>
      <c r="Y69" s="389">
        <f>'Imp-Other-Autre'!L143</f>
        <v>0</v>
      </c>
      <c r="Z69" s="397">
        <f>'Imp-Other-Autre'!E144/$Z$27</f>
        <v>0</v>
      </c>
      <c r="AA69" s="389">
        <f>'Imp-Other-Autre'!F144/$Z$27</f>
        <v>0</v>
      </c>
      <c r="AB69" s="389">
        <f>'Imp-Other-Autre'!G144/$Z$27</f>
        <v>0</v>
      </c>
      <c r="AC69" s="389">
        <f>'Imp-Other-Autre'!H144/$Z$27</f>
        <v>0</v>
      </c>
      <c r="AD69" s="389">
        <f>'Imp-Other-Autre'!I144/$Z$27</f>
        <v>0</v>
      </c>
      <c r="AE69" s="389">
        <f>'Imp-Other-Autre'!J144/$Z$27</f>
        <v>0</v>
      </c>
      <c r="AF69" s="389">
        <f>'Imp-Other-Autre'!K144/$Z$27</f>
        <v>0</v>
      </c>
      <c r="AG69" s="395">
        <f>'Imp-Other-Autre'!L144/$Z$27</f>
        <v>0</v>
      </c>
    </row>
    <row r="70" spans="2:33" x14ac:dyDescent="0.3">
      <c r="B70" s="387">
        <f t="shared" si="7"/>
        <v>0</v>
      </c>
      <c r="C70" s="387">
        <f t="shared" si="7"/>
        <v>0</v>
      </c>
      <c r="D70" s="390" t="s">
        <v>648</v>
      </c>
      <c r="E70" s="387" t="str">
        <f t="shared" si="6"/>
        <v/>
      </c>
      <c r="F70" s="391"/>
      <c r="G70" s="391"/>
      <c r="H70" s="391"/>
      <c r="I70" s="394" t="s">
        <v>768</v>
      </c>
      <c r="J70" s="390" t="s">
        <v>656</v>
      </c>
      <c r="K70" s="390" t="s">
        <v>686</v>
      </c>
      <c r="L70" s="358" t="s">
        <v>626</v>
      </c>
      <c r="M70" s="390">
        <f>'Imp-Other-Autre'!$D$23</f>
        <v>0</v>
      </c>
      <c r="N70" s="390" t="s">
        <v>659</v>
      </c>
      <c r="O70" s="390" t="s">
        <v>595</v>
      </c>
      <c r="P70" s="390" t="s">
        <v>680</v>
      </c>
      <c r="Q70" s="390" t="s">
        <v>653</v>
      </c>
      <c r="R70" s="400">
        <f>'Imp-Other-Autre'!E148</f>
        <v>0</v>
      </c>
      <c r="S70" s="392">
        <f>'Imp-Other-Autre'!F148</f>
        <v>0</v>
      </c>
      <c r="T70" s="392">
        <f>'Imp-Other-Autre'!G148</f>
        <v>0</v>
      </c>
      <c r="U70" s="392">
        <f>'Imp-Other-Autre'!H148</f>
        <v>0</v>
      </c>
      <c r="V70" s="392">
        <f>'Imp-Other-Autre'!I148</f>
        <v>0</v>
      </c>
      <c r="W70" s="392">
        <f>'Imp-Other-Autre'!J148</f>
        <v>0</v>
      </c>
      <c r="X70" s="392">
        <f>'Imp-Other-Autre'!K148</f>
        <v>0</v>
      </c>
      <c r="Y70" s="392">
        <f>'Imp-Other-Autre'!L148</f>
        <v>0</v>
      </c>
      <c r="Z70" s="398">
        <f>'Imp-Other-Autre'!E149/$Z$27</f>
        <v>0</v>
      </c>
      <c r="AA70" s="392">
        <f>'Imp-Other-Autre'!F149/$Z$27</f>
        <v>0</v>
      </c>
      <c r="AB70" s="392">
        <f>'Imp-Other-Autre'!G149/$Z$27</f>
        <v>0</v>
      </c>
      <c r="AC70" s="392">
        <f>'Imp-Other-Autre'!H149/$Z$27</f>
        <v>0</v>
      </c>
      <c r="AD70" s="392">
        <f>'Imp-Other-Autre'!I149/$Z$27</f>
        <v>0</v>
      </c>
      <c r="AE70" s="392">
        <f>'Imp-Other-Autre'!J149/$Z$27</f>
        <v>0</v>
      </c>
      <c r="AF70" s="392">
        <f>'Imp-Other-Autre'!K149/$Z$27</f>
        <v>0</v>
      </c>
      <c r="AG70" s="396">
        <f>'Imp-Other-Autre'!L149/$Z$27</f>
        <v>0</v>
      </c>
    </row>
    <row r="71" spans="2:33" x14ac:dyDescent="0.3">
      <c r="B71" s="387">
        <f t="shared" si="7"/>
        <v>0</v>
      </c>
      <c r="C71" s="387">
        <f t="shared" si="7"/>
        <v>0</v>
      </c>
      <c r="D71" s="390" t="s">
        <v>648</v>
      </c>
      <c r="E71" s="387" t="str">
        <f t="shared" si="6"/>
        <v/>
      </c>
      <c r="F71" s="391"/>
      <c r="G71" s="391"/>
      <c r="H71" s="391"/>
      <c r="I71" s="394" t="s">
        <v>768</v>
      </c>
      <c r="J71" s="390" t="s">
        <v>656</v>
      </c>
      <c r="K71" s="390" t="s">
        <v>686</v>
      </c>
      <c r="L71" s="358" t="s">
        <v>626</v>
      </c>
      <c r="M71" s="390">
        <f>'Imp-Other-Autre'!$D$23</f>
        <v>0</v>
      </c>
      <c r="N71" s="390" t="s">
        <v>659</v>
      </c>
      <c r="O71" s="390" t="s">
        <v>597</v>
      </c>
      <c r="P71" s="390" t="s">
        <v>681</v>
      </c>
      <c r="Q71" s="390" t="s">
        <v>653</v>
      </c>
      <c r="R71" s="400">
        <f>'Imp-Other-Autre'!E153</f>
        <v>0</v>
      </c>
      <c r="S71" s="392">
        <f>'Imp-Other-Autre'!F153</f>
        <v>0</v>
      </c>
      <c r="T71" s="392">
        <f>'Imp-Other-Autre'!G153</f>
        <v>0</v>
      </c>
      <c r="U71" s="392">
        <f>'Imp-Other-Autre'!H153</f>
        <v>0</v>
      </c>
      <c r="V71" s="392">
        <f>'Imp-Other-Autre'!I153</f>
        <v>0</v>
      </c>
      <c r="W71" s="392">
        <f>'Imp-Other-Autre'!J153</f>
        <v>0</v>
      </c>
      <c r="X71" s="392">
        <f>'Imp-Other-Autre'!K153</f>
        <v>0</v>
      </c>
      <c r="Y71" s="392">
        <f>'Imp-Other-Autre'!L153</f>
        <v>0</v>
      </c>
      <c r="Z71" s="398">
        <f>'Imp-Other-Autre'!E154/$Z$27</f>
        <v>0</v>
      </c>
      <c r="AA71" s="392">
        <f>'Imp-Other-Autre'!F154/$Z$27</f>
        <v>0</v>
      </c>
      <c r="AB71" s="392">
        <f>'Imp-Other-Autre'!G154/$Z$27</f>
        <v>0</v>
      </c>
      <c r="AC71" s="392">
        <f>'Imp-Other-Autre'!H154/$Z$27</f>
        <v>0</v>
      </c>
      <c r="AD71" s="392">
        <f>'Imp-Other-Autre'!I154/$Z$27</f>
        <v>0</v>
      </c>
      <c r="AE71" s="392">
        <f>'Imp-Other-Autre'!J154/$Z$27</f>
        <v>0</v>
      </c>
      <c r="AF71" s="392">
        <f>'Imp-Other-Autre'!K154/$Z$27</f>
        <v>0</v>
      </c>
      <c r="AG71" s="396">
        <f>'Imp-Other-Autre'!L154/$Z$27</f>
        <v>0</v>
      </c>
    </row>
    <row r="72" spans="2:33" x14ac:dyDescent="0.3">
      <c r="B72" s="387">
        <f t="shared" si="7"/>
        <v>0</v>
      </c>
      <c r="C72" s="387">
        <f t="shared" si="7"/>
        <v>0</v>
      </c>
      <c r="D72" s="390" t="s">
        <v>648</v>
      </c>
      <c r="E72" s="387" t="str">
        <f t="shared" si="6"/>
        <v/>
      </c>
      <c r="F72" s="391"/>
      <c r="G72" s="391"/>
      <c r="H72" s="391"/>
      <c r="I72" s="394" t="s">
        <v>768</v>
      </c>
      <c r="J72" s="390" t="s">
        <v>656</v>
      </c>
      <c r="K72" s="390" t="s">
        <v>686</v>
      </c>
      <c r="L72" s="358" t="s">
        <v>626</v>
      </c>
      <c r="M72" s="390">
        <f>'Imp-Other-Autre'!$D$23</f>
        <v>0</v>
      </c>
      <c r="N72" s="390" t="s">
        <v>659</v>
      </c>
      <c r="O72" s="390" t="s">
        <v>599</v>
      </c>
      <c r="P72" s="390" t="s">
        <v>682</v>
      </c>
      <c r="Q72" s="390" t="s">
        <v>653</v>
      </c>
      <c r="R72" s="400">
        <f>'Imp-Other-Autre'!E158</f>
        <v>0</v>
      </c>
      <c r="S72" s="392">
        <f>'Imp-Other-Autre'!F158</f>
        <v>0</v>
      </c>
      <c r="T72" s="392">
        <f>'Imp-Other-Autre'!G158</f>
        <v>0</v>
      </c>
      <c r="U72" s="392">
        <f>'Imp-Other-Autre'!H158</f>
        <v>0</v>
      </c>
      <c r="V72" s="392">
        <f>'Imp-Other-Autre'!I158</f>
        <v>0</v>
      </c>
      <c r="W72" s="392">
        <f>'Imp-Other-Autre'!J158</f>
        <v>0</v>
      </c>
      <c r="X72" s="392">
        <f>'Imp-Other-Autre'!K158</f>
        <v>0</v>
      </c>
      <c r="Y72" s="392">
        <f>'Imp-Other-Autre'!L158</f>
        <v>0</v>
      </c>
      <c r="Z72" s="398">
        <f>'Imp-Other-Autre'!E159/$Z$27</f>
        <v>0</v>
      </c>
      <c r="AA72" s="392">
        <f>'Imp-Other-Autre'!F159/$Z$27</f>
        <v>0</v>
      </c>
      <c r="AB72" s="392">
        <f>'Imp-Other-Autre'!G159/$Z$27</f>
        <v>0</v>
      </c>
      <c r="AC72" s="392">
        <f>'Imp-Other-Autre'!H159/$Z$27</f>
        <v>0</v>
      </c>
      <c r="AD72" s="392">
        <f>'Imp-Other-Autre'!I159/$Z$27</f>
        <v>0</v>
      </c>
      <c r="AE72" s="392">
        <f>'Imp-Other-Autre'!J159/$Z$27</f>
        <v>0</v>
      </c>
      <c r="AF72" s="392">
        <f>'Imp-Other-Autre'!K159/$Z$27</f>
        <v>0</v>
      </c>
      <c r="AG72" s="396">
        <f>'Imp-Other-Autre'!L159/$Z$27</f>
        <v>0</v>
      </c>
    </row>
    <row r="73" spans="2:33" x14ac:dyDescent="0.3">
      <c r="B73" s="387">
        <f t="shared" si="7"/>
        <v>0</v>
      </c>
      <c r="C73" s="387">
        <f t="shared" si="7"/>
        <v>0</v>
      </c>
      <c r="D73" s="390" t="s">
        <v>648</v>
      </c>
      <c r="E73" s="387" t="str">
        <f t="shared" si="6"/>
        <v/>
      </c>
      <c r="F73" s="391"/>
      <c r="G73" s="391"/>
      <c r="H73" s="391"/>
      <c r="I73" s="394" t="s">
        <v>768</v>
      </c>
      <c r="J73" s="390" t="s">
        <v>656</v>
      </c>
      <c r="K73" s="390" t="s">
        <v>686</v>
      </c>
      <c r="L73" s="358" t="s">
        <v>626</v>
      </c>
      <c r="M73" s="390">
        <f>'Imp-Other-Autre'!$D$23</f>
        <v>0</v>
      </c>
      <c r="N73" s="390" t="s">
        <v>659</v>
      </c>
      <c r="O73" s="390" t="s">
        <v>601</v>
      </c>
      <c r="P73" s="390" t="s">
        <v>683</v>
      </c>
      <c r="Q73" s="390" t="s">
        <v>653</v>
      </c>
      <c r="R73" s="400">
        <f>'Imp-Other-Autre'!E163</f>
        <v>0</v>
      </c>
      <c r="S73" s="392">
        <f>'Imp-Other-Autre'!F163</f>
        <v>0</v>
      </c>
      <c r="T73" s="392">
        <f>'Imp-Other-Autre'!G163</f>
        <v>0</v>
      </c>
      <c r="U73" s="392">
        <f>'Imp-Other-Autre'!H163</f>
        <v>0</v>
      </c>
      <c r="V73" s="392">
        <f>'Imp-Other-Autre'!I163</f>
        <v>0</v>
      </c>
      <c r="W73" s="392">
        <f>'Imp-Other-Autre'!J163</f>
        <v>0</v>
      </c>
      <c r="X73" s="392">
        <f>'Imp-Other-Autre'!K163</f>
        <v>0</v>
      </c>
      <c r="Y73" s="392">
        <f>'Imp-Other-Autre'!L163</f>
        <v>0</v>
      </c>
      <c r="Z73" s="398">
        <f>'Imp-Other-Autre'!E164/$Z$27</f>
        <v>0</v>
      </c>
      <c r="AA73" s="392">
        <f>'Imp-Other-Autre'!F164/$Z$27</f>
        <v>0</v>
      </c>
      <c r="AB73" s="392">
        <f>'Imp-Other-Autre'!G164/$Z$27</f>
        <v>0</v>
      </c>
      <c r="AC73" s="392">
        <f>'Imp-Other-Autre'!H164/$Z$27</f>
        <v>0</v>
      </c>
      <c r="AD73" s="392">
        <f>'Imp-Other-Autre'!I164/$Z$27</f>
        <v>0</v>
      </c>
      <c r="AE73" s="392">
        <f>'Imp-Other-Autre'!J164/$Z$27</f>
        <v>0</v>
      </c>
      <c r="AF73" s="392">
        <f>'Imp-Other-Autre'!K164/$Z$27</f>
        <v>0</v>
      </c>
      <c r="AG73" s="396">
        <f>'Imp-Other-Autre'!L164/$Z$27</f>
        <v>0</v>
      </c>
    </row>
    <row r="74" spans="2:33" s="302" customFormat="1" x14ac:dyDescent="0.3">
      <c r="B74" s="387">
        <f t="shared" si="7"/>
        <v>0</v>
      </c>
      <c r="C74" s="387">
        <f t="shared" si="7"/>
        <v>0</v>
      </c>
      <c r="D74" s="387" t="s">
        <v>648</v>
      </c>
      <c r="E74" s="387" t="str">
        <f t="shared" si="6"/>
        <v/>
      </c>
      <c r="F74" s="388"/>
      <c r="G74" s="388"/>
      <c r="H74" s="388"/>
      <c r="I74" s="393" t="s">
        <v>768</v>
      </c>
      <c r="J74" s="387" t="s">
        <v>656</v>
      </c>
      <c r="K74" s="387" t="s">
        <v>686</v>
      </c>
      <c r="L74" s="355" t="s">
        <v>626</v>
      </c>
      <c r="M74" s="387">
        <f>'Imp-Other-Autre'!$D$23</f>
        <v>0</v>
      </c>
      <c r="N74" s="387" t="s">
        <v>659</v>
      </c>
      <c r="O74" s="387" t="s">
        <v>593</v>
      </c>
      <c r="P74" s="387" t="s">
        <v>679</v>
      </c>
      <c r="Q74" s="387" t="s">
        <v>654</v>
      </c>
      <c r="R74" s="399">
        <f>'Imp-Other-Autre'!E204</f>
        <v>0</v>
      </c>
      <c r="S74" s="389">
        <f>'Imp-Other-Autre'!F204</f>
        <v>0</v>
      </c>
      <c r="T74" s="389">
        <f>'Imp-Other-Autre'!G204</f>
        <v>0</v>
      </c>
      <c r="U74" s="389">
        <f>'Imp-Other-Autre'!H204</f>
        <v>0</v>
      </c>
      <c r="V74" s="389">
        <f>'Imp-Other-Autre'!I204</f>
        <v>0</v>
      </c>
      <c r="W74" s="389">
        <f>'Imp-Other-Autre'!J204</f>
        <v>0</v>
      </c>
      <c r="X74" s="389">
        <f>'Imp-Other-Autre'!K204</f>
        <v>0</v>
      </c>
      <c r="Y74" s="389">
        <f>'Imp-Other-Autre'!L204</f>
        <v>0</v>
      </c>
      <c r="Z74" s="397">
        <f>'Imp-Other-Autre'!E205/$Z$27</f>
        <v>0</v>
      </c>
      <c r="AA74" s="389">
        <f>'Imp-Other-Autre'!F205/$Z$27</f>
        <v>0</v>
      </c>
      <c r="AB74" s="389">
        <f>'Imp-Other-Autre'!G205/$Z$27</f>
        <v>0</v>
      </c>
      <c r="AC74" s="389">
        <f>'Imp-Other-Autre'!H205/$Z$27</f>
        <v>0</v>
      </c>
      <c r="AD74" s="389">
        <f>'Imp-Other-Autre'!I205/$Z$27</f>
        <v>0</v>
      </c>
      <c r="AE74" s="389">
        <f>'Imp-Other-Autre'!J205/$Z$27</f>
        <v>0</v>
      </c>
      <c r="AF74" s="389">
        <f>'Imp-Other-Autre'!K205/$Z$27</f>
        <v>0</v>
      </c>
      <c r="AG74" s="395">
        <f>'Imp-Other-Autre'!L205/$Z$27</f>
        <v>0</v>
      </c>
    </row>
    <row r="75" spans="2:33" x14ac:dyDescent="0.3">
      <c r="B75" s="387">
        <f t="shared" si="7"/>
        <v>0</v>
      </c>
      <c r="C75" s="387">
        <f t="shared" si="7"/>
        <v>0</v>
      </c>
      <c r="D75" s="390" t="s">
        <v>648</v>
      </c>
      <c r="E75" s="387" t="str">
        <f t="shared" si="6"/>
        <v/>
      </c>
      <c r="F75" s="391"/>
      <c r="G75" s="391"/>
      <c r="H75" s="391"/>
      <c r="I75" s="394" t="s">
        <v>768</v>
      </c>
      <c r="J75" s="390" t="s">
        <v>656</v>
      </c>
      <c r="K75" s="390" t="s">
        <v>686</v>
      </c>
      <c r="L75" s="358" t="s">
        <v>626</v>
      </c>
      <c r="M75" s="390">
        <f>'Imp-Other-Autre'!$D$23</f>
        <v>0</v>
      </c>
      <c r="N75" s="390" t="s">
        <v>659</v>
      </c>
      <c r="O75" s="390" t="s">
        <v>595</v>
      </c>
      <c r="P75" s="390" t="s">
        <v>680</v>
      </c>
      <c r="Q75" s="390" t="s">
        <v>654</v>
      </c>
      <c r="R75" s="400">
        <f>'Imp-Other-Autre'!E209</f>
        <v>0</v>
      </c>
      <c r="S75" s="392">
        <f>'Imp-Other-Autre'!F209</f>
        <v>0</v>
      </c>
      <c r="T75" s="392">
        <f>'Imp-Other-Autre'!G209</f>
        <v>0</v>
      </c>
      <c r="U75" s="392">
        <f>'Imp-Other-Autre'!H209</f>
        <v>0</v>
      </c>
      <c r="V75" s="392">
        <f>'Imp-Other-Autre'!I209</f>
        <v>0</v>
      </c>
      <c r="W75" s="392">
        <f>'Imp-Other-Autre'!J209</f>
        <v>0</v>
      </c>
      <c r="X75" s="392">
        <f>'Imp-Other-Autre'!K209</f>
        <v>0</v>
      </c>
      <c r="Y75" s="392">
        <f>'Imp-Other-Autre'!L209</f>
        <v>0</v>
      </c>
      <c r="Z75" s="398">
        <f>'Imp-Other-Autre'!E210/$Z$27</f>
        <v>0</v>
      </c>
      <c r="AA75" s="392">
        <f>'Imp-Other-Autre'!F210/$Z$27</f>
        <v>0</v>
      </c>
      <c r="AB75" s="392">
        <f>'Imp-Other-Autre'!G210/$Z$27</f>
        <v>0</v>
      </c>
      <c r="AC75" s="392">
        <f>'Imp-Other-Autre'!H210/$Z$27</f>
        <v>0</v>
      </c>
      <c r="AD75" s="392">
        <f>'Imp-Other-Autre'!I210/$Z$27</f>
        <v>0</v>
      </c>
      <c r="AE75" s="392">
        <f>'Imp-Other-Autre'!J210/$Z$27</f>
        <v>0</v>
      </c>
      <c r="AF75" s="392">
        <f>'Imp-Other-Autre'!K210/$Z$27</f>
        <v>0</v>
      </c>
      <c r="AG75" s="396">
        <f>'Imp-Other-Autre'!L210/$Z$27</f>
        <v>0</v>
      </c>
    </row>
    <row r="76" spans="2:33" x14ac:dyDescent="0.3">
      <c r="B76" s="387">
        <f t="shared" si="7"/>
        <v>0</v>
      </c>
      <c r="C76" s="387">
        <f t="shared" si="7"/>
        <v>0</v>
      </c>
      <c r="D76" s="390" t="s">
        <v>648</v>
      </c>
      <c r="E76" s="387" t="str">
        <f t="shared" si="6"/>
        <v/>
      </c>
      <c r="F76" s="391"/>
      <c r="G76" s="391"/>
      <c r="H76" s="391"/>
      <c r="I76" s="394" t="s">
        <v>768</v>
      </c>
      <c r="J76" s="390" t="s">
        <v>656</v>
      </c>
      <c r="K76" s="390" t="s">
        <v>686</v>
      </c>
      <c r="L76" s="358" t="s">
        <v>626</v>
      </c>
      <c r="M76" s="390">
        <f>'Imp-Other-Autre'!$D$23</f>
        <v>0</v>
      </c>
      <c r="N76" s="390" t="s">
        <v>659</v>
      </c>
      <c r="O76" s="390" t="s">
        <v>597</v>
      </c>
      <c r="P76" s="390" t="s">
        <v>681</v>
      </c>
      <c r="Q76" s="390" t="s">
        <v>654</v>
      </c>
      <c r="R76" s="400">
        <f>'Imp-Other-Autre'!E214</f>
        <v>0</v>
      </c>
      <c r="S76" s="392">
        <f>'Imp-Other-Autre'!F214</f>
        <v>0</v>
      </c>
      <c r="T76" s="392">
        <f>'Imp-Other-Autre'!G214</f>
        <v>0</v>
      </c>
      <c r="U76" s="392">
        <f>'Imp-Other-Autre'!H214</f>
        <v>0</v>
      </c>
      <c r="V76" s="392">
        <f>'Imp-Other-Autre'!I214</f>
        <v>0</v>
      </c>
      <c r="W76" s="392">
        <f>'Imp-Other-Autre'!J214</f>
        <v>0</v>
      </c>
      <c r="X76" s="392">
        <f>'Imp-Other-Autre'!K214</f>
        <v>0</v>
      </c>
      <c r="Y76" s="392">
        <f>'Imp-Other-Autre'!L214</f>
        <v>0</v>
      </c>
      <c r="Z76" s="398">
        <f>'Imp-Other-Autre'!E215/$Z$27</f>
        <v>0</v>
      </c>
      <c r="AA76" s="392">
        <f>'Imp-Other-Autre'!F215/$Z$27</f>
        <v>0</v>
      </c>
      <c r="AB76" s="392">
        <f>'Imp-Other-Autre'!G215/$Z$27</f>
        <v>0</v>
      </c>
      <c r="AC76" s="392">
        <f>'Imp-Other-Autre'!H215/$Z$27</f>
        <v>0</v>
      </c>
      <c r="AD76" s="392">
        <f>'Imp-Other-Autre'!I215/$Z$27</f>
        <v>0</v>
      </c>
      <c r="AE76" s="392">
        <f>'Imp-Other-Autre'!J215/$Z$27</f>
        <v>0</v>
      </c>
      <c r="AF76" s="392">
        <f>'Imp-Other-Autre'!K215/$Z$27</f>
        <v>0</v>
      </c>
      <c r="AG76" s="396">
        <f>'Imp-Other-Autre'!L215/$Z$27</f>
        <v>0</v>
      </c>
    </row>
    <row r="77" spans="2:33" x14ac:dyDescent="0.3">
      <c r="B77" s="387">
        <f t="shared" si="7"/>
        <v>0</v>
      </c>
      <c r="C77" s="387">
        <f t="shared" si="7"/>
        <v>0</v>
      </c>
      <c r="D77" s="390" t="s">
        <v>648</v>
      </c>
      <c r="E77" s="387" t="str">
        <f t="shared" si="6"/>
        <v/>
      </c>
      <c r="F77" s="391"/>
      <c r="G77" s="391"/>
      <c r="H77" s="391"/>
      <c r="I77" s="394" t="s">
        <v>768</v>
      </c>
      <c r="J77" s="390" t="s">
        <v>656</v>
      </c>
      <c r="K77" s="390" t="s">
        <v>686</v>
      </c>
      <c r="L77" s="358" t="s">
        <v>626</v>
      </c>
      <c r="M77" s="390">
        <f>'Imp-Other-Autre'!$D$23</f>
        <v>0</v>
      </c>
      <c r="N77" s="390" t="s">
        <v>659</v>
      </c>
      <c r="O77" s="390" t="s">
        <v>599</v>
      </c>
      <c r="P77" s="390" t="s">
        <v>682</v>
      </c>
      <c r="Q77" s="390" t="s">
        <v>654</v>
      </c>
      <c r="R77" s="400">
        <f>'Imp-Other-Autre'!E219</f>
        <v>0</v>
      </c>
      <c r="S77" s="392">
        <f>'Imp-Other-Autre'!F219</f>
        <v>0</v>
      </c>
      <c r="T77" s="392">
        <f>'Imp-Other-Autre'!G219</f>
        <v>0</v>
      </c>
      <c r="U77" s="392">
        <f>'Imp-Other-Autre'!H219</f>
        <v>0</v>
      </c>
      <c r="V77" s="392">
        <f>'Imp-Other-Autre'!I219</f>
        <v>0</v>
      </c>
      <c r="W77" s="392">
        <f>'Imp-Other-Autre'!J219</f>
        <v>0</v>
      </c>
      <c r="X77" s="392">
        <f>'Imp-Other-Autre'!K219</f>
        <v>0</v>
      </c>
      <c r="Y77" s="392">
        <f>'Imp-Other-Autre'!L219</f>
        <v>0</v>
      </c>
      <c r="Z77" s="398">
        <f>'Imp-Other-Autre'!E220/$Z$27</f>
        <v>0</v>
      </c>
      <c r="AA77" s="392">
        <f>'Imp-Other-Autre'!F220/$Z$27</f>
        <v>0</v>
      </c>
      <c r="AB77" s="392">
        <f>'Imp-Other-Autre'!G220/$Z$27</f>
        <v>0</v>
      </c>
      <c r="AC77" s="392">
        <f>'Imp-Other-Autre'!H220/$Z$27</f>
        <v>0</v>
      </c>
      <c r="AD77" s="392">
        <f>'Imp-Other-Autre'!I220/$Z$27</f>
        <v>0</v>
      </c>
      <c r="AE77" s="392">
        <f>'Imp-Other-Autre'!J220/$Z$27</f>
        <v>0</v>
      </c>
      <c r="AF77" s="392">
        <f>'Imp-Other-Autre'!K220/$Z$27</f>
        <v>0</v>
      </c>
      <c r="AG77" s="396">
        <f>'Imp-Other-Autre'!L220/$Z$27</f>
        <v>0</v>
      </c>
    </row>
    <row r="78" spans="2:33" x14ac:dyDescent="0.3">
      <c r="B78" s="387">
        <f t="shared" si="7"/>
        <v>0</v>
      </c>
      <c r="C78" s="387">
        <f t="shared" si="7"/>
        <v>0</v>
      </c>
      <c r="D78" s="390" t="s">
        <v>648</v>
      </c>
      <c r="E78" s="387" t="str">
        <f t="shared" si="6"/>
        <v/>
      </c>
      <c r="F78" s="391"/>
      <c r="G78" s="391"/>
      <c r="H78" s="391"/>
      <c r="I78" s="394" t="s">
        <v>768</v>
      </c>
      <c r="J78" s="390" t="s">
        <v>656</v>
      </c>
      <c r="K78" s="390" t="s">
        <v>686</v>
      </c>
      <c r="L78" s="358" t="s">
        <v>626</v>
      </c>
      <c r="M78" s="390">
        <f>'Imp-Other-Autre'!$D$23</f>
        <v>0</v>
      </c>
      <c r="N78" s="390" t="s">
        <v>659</v>
      </c>
      <c r="O78" s="390" t="s">
        <v>601</v>
      </c>
      <c r="P78" s="390" t="s">
        <v>683</v>
      </c>
      <c r="Q78" s="390" t="s">
        <v>654</v>
      </c>
      <c r="R78" s="400">
        <f>'Imp-Other-Autre'!E224</f>
        <v>0</v>
      </c>
      <c r="S78" s="392">
        <f>'Imp-Other-Autre'!F224</f>
        <v>0</v>
      </c>
      <c r="T78" s="392">
        <f>'Imp-Other-Autre'!G224</f>
        <v>0</v>
      </c>
      <c r="U78" s="392">
        <f>'Imp-Other-Autre'!H224</f>
        <v>0</v>
      </c>
      <c r="V78" s="392">
        <f>'Imp-Other-Autre'!I224</f>
        <v>0</v>
      </c>
      <c r="W78" s="392">
        <f>'Imp-Other-Autre'!J224</f>
        <v>0</v>
      </c>
      <c r="X78" s="392">
        <f>'Imp-Other-Autre'!K224</f>
        <v>0</v>
      </c>
      <c r="Y78" s="392">
        <f>'Imp-Other-Autre'!L224</f>
        <v>0</v>
      </c>
      <c r="Z78" s="398">
        <f>'Imp-Other-Autre'!E225/$Z$27</f>
        <v>0</v>
      </c>
      <c r="AA78" s="392">
        <f>'Imp-Other-Autre'!F225/$Z$27</f>
        <v>0</v>
      </c>
      <c r="AB78" s="392">
        <f>'Imp-Other-Autre'!G225/$Z$27</f>
        <v>0</v>
      </c>
      <c r="AC78" s="392">
        <f>'Imp-Other-Autre'!H225/$Z$27</f>
        <v>0</v>
      </c>
      <c r="AD78" s="392">
        <f>'Imp-Other-Autre'!I225/$Z$27</f>
        <v>0</v>
      </c>
      <c r="AE78" s="392">
        <f>'Imp-Other-Autre'!J225/$Z$27</f>
        <v>0</v>
      </c>
      <c r="AF78" s="392">
        <f>'Imp-Other-Autre'!K225/$Z$27</f>
        <v>0</v>
      </c>
      <c r="AG78" s="396">
        <f>'Imp-Other-Autre'!L225/$Z$27</f>
        <v>0</v>
      </c>
    </row>
    <row r="79" spans="2:33" x14ac:dyDescent="0.3">
      <c r="B79" s="387"/>
      <c r="C79" s="387"/>
      <c r="D79" s="390"/>
      <c r="E79" s="387"/>
      <c r="F79" s="391"/>
      <c r="G79" s="391"/>
      <c r="H79" s="391"/>
      <c r="I79" s="394"/>
      <c r="J79" s="390"/>
      <c r="K79" s="390"/>
      <c r="L79" s="390"/>
      <c r="M79" s="390"/>
      <c r="N79" s="390"/>
      <c r="O79" s="390"/>
      <c r="P79" s="390"/>
      <c r="Q79" s="390"/>
      <c r="R79" s="392"/>
      <c r="S79" s="392"/>
      <c r="T79" s="392"/>
      <c r="U79" s="392"/>
      <c r="V79" s="392"/>
      <c r="W79" s="392"/>
      <c r="X79" s="392"/>
      <c r="Y79" s="392"/>
      <c r="Z79" s="392"/>
      <c r="AA79" s="392"/>
      <c r="AB79" s="392"/>
      <c r="AC79" s="392"/>
      <c r="AD79" s="392"/>
      <c r="AE79" s="392"/>
      <c r="AF79" s="392"/>
      <c r="AG79" s="392"/>
    </row>
    <row r="81" spans="2:20" ht="3.75" customHeight="1" thickBot="1" x14ac:dyDescent="0.35">
      <c r="B81" s="852" t="s">
        <v>687</v>
      </c>
      <c r="C81" s="853"/>
      <c r="D81" s="414"/>
      <c r="E81" s="414"/>
      <c r="F81" s="415"/>
      <c r="G81" s="402"/>
      <c r="H81" s="402"/>
      <c r="I81" s="402"/>
      <c r="J81" s="403"/>
      <c r="K81" s="403"/>
      <c r="L81" s="403"/>
      <c r="M81" s="370"/>
      <c r="N81" s="370"/>
      <c r="O81" s="370"/>
      <c r="P81" s="370"/>
    </row>
    <row r="82" spans="2:20" ht="15" thickBot="1" x14ac:dyDescent="0.35">
      <c r="B82" s="854"/>
      <c r="C82" s="855"/>
      <c r="D82" s="303"/>
      <c r="E82" s="303"/>
      <c r="F82" s="303"/>
      <c r="G82" s="841" t="s">
        <v>688</v>
      </c>
      <c r="H82" s="842"/>
      <c r="I82" s="842"/>
      <c r="J82" s="441"/>
      <c r="K82" s="442"/>
      <c r="L82" s="841" t="s">
        <v>689</v>
      </c>
      <c r="M82" s="842"/>
      <c r="N82" s="842"/>
      <c r="O82" s="441"/>
      <c r="P82" s="442"/>
    </row>
    <row r="83" spans="2:20" x14ac:dyDescent="0.3">
      <c r="B83" s="845" t="s">
        <v>631</v>
      </c>
      <c r="C83" s="847" t="s">
        <v>690</v>
      </c>
      <c r="D83" s="849" t="s">
        <v>691</v>
      </c>
      <c r="E83" s="850" t="s">
        <v>692</v>
      </c>
      <c r="F83" s="850" t="s">
        <v>693</v>
      </c>
      <c r="G83" s="829" t="s">
        <v>616</v>
      </c>
      <c r="H83" s="829" t="s">
        <v>617</v>
      </c>
      <c r="I83" s="829" t="s">
        <v>618</v>
      </c>
      <c r="J83" s="831" t="s">
        <v>765</v>
      </c>
      <c r="K83" s="831" t="s">
        <v>773</v>
      </c>
      <c r="L83" s="829" t="s">
        <v>616</v>
      </c>
      <c r="M83" s="829" t="s">
        <v>617</v>
      </c>
      <c r="N83" s="829" t="s">
        <v>618</v>
      </c>
      <c r="O83" s="831" t="s">
        <v>765</v>
      </c>
      <c r="P83" s="833" t="s">
        <v>773</v>
      </c>
    </row>
    <row r="84" spans="2:20" ht="15" thickBot="1" x14ac:dyDescent="0.35">
      <c r="B84" s="846"/>
      <c r="C84" s="848"/>
      <c r="D84" s="848"/>
      <c r="E84" s="851"/>
      <c r="F84" s="851"/>
      <c r="G84" s="830"/>
      <c r="H84" s="830"/>
      <c r="I84" s="830"/>
      <c r="J84" s="832"/>
      <c r="K84" s="832"/>
      <c r="L84" s="830"/>
      <c r="M84" s="830"/>
      <c r="N84" s="830"/>
      <c r="O84" s="832"/>
      <c r="P84" s="834"/>
    </row>
    <row r="85" spans="2:20" x14ac:dyDescent="0.3">
      <c r="B85" s="408" t="s">
        <v>694</v>
      </c>
      <c r="C85" s="416" t="s">
        <v>695</v>
      </c>
      <c r="D85" s="416" t="s">
        <v>696</v>
      </c>
      <c r="E85" s="416" t="s">
        <v>697</v>
      </c>
      <c r="F85" s="417" t="s">
        <v>698</v>
      </c>
      <c r="G85" s="318">
        <f>SUM(D$92:D$96)*L85</f>
        <v>0</v>
      </c>
      <c r="H85" s="318">
        <f t="shared" ref="H85:K89" si="8">SUM(E$92:E$96)*M85</f>
        <v>0</v>
      </c>
      <c r="I85" s="318">
        <f t="shared" si="8"/>
        <v>0</v>
      </c>
      <c r="J85" s="318">
        <f t="shared" si="8"/>
        <v>0</v>
      </c>
      <c r="K85" s="318">
        <f t="shared" si="8"/>
        <v>0</v>
      </c>
      <c r="L85" s="485">
        <f>Pro!G105/100</f>
        <v>0</v>
      </c>
      <c r="M85" s="486">
        <f>Pro!H105/100</f>
        <v>0</v>
      </c>
      <c r="N85" s="486">
        <f>Pro!I105/100</f>
        <v>0</v>
      </c>
      <c r="O85" s="486">
        <f>Pro!J105/100</f>
        <v>0</v>
      </c>
      <c r="P85" s="486">
        <f>Pro!K105/100</f>
        <v>0</v>
      </c>
    </row>
    <row r="86" spans="2:20" x14ac:dyDescent="0.3">
      <c r="B86" s="408" t="str">
        <f t="shared" ref="B86:D89" si="9">B85</f>
        <v>Importer 1</v>
      </c>
      <c r="C86" s="416" t="str">
        <f t="shared" si="9"/>
        <v>IMPORTER</v>
      </c>
      <c r="D86" s="416" t="str">
        <f t="shared" si="9"/>
        <v>Import Sales</v>
      </c>
      <c r="E86" s="416" t="s">
        <v>699</v>
      </c>
      <c r="F86" s="417" t="s">
        <v>700</v>
      </c>
      <c r="G86" s="318">
        <f t="shared" ref="G86:G89" si="10">SUM(D$92:D$96)*L86</f>
        <v>0</v>
      </c>
      <c r="H86" s="318">
        <f t="shared" si="8"/>
        <v>0</v>
      </c>
      <c r="I86" s="318">
        <f t="shared" si="8"/>
        <v>0</v>
      </c>
      <c r="J86" s="318">
        <f t="shared" si="8"/>
        <v>0</v>
      </c>
      <c r="K86" s="318">
        <f t="shared" si="8"/>
        <v>0</v>
      </c>
      <c r="L86" s="487">
        <f>Pro!G106/100</f>
        <v>0</v>
      </c>
      <c r="M86" s="406">
        <f>Pro!H106/100</f>
        <v>0</v>
      </c>
      <c r="N86" s="406">
        <f>Pro!I106/100</f>
        <v>0</v>
      </c>
      <c r="O86" s="406">
        <f>Pro!J106/100</f>
        <v>0</v>
      </c>
      <c r="P86" s="406">
        <f>Pro!K106/100</f>
        <v>0</v>
      </c>
    </row>
    <row r="87" spans="2:20" x14ac:dyDescent="0.3">
      <c r="B87" s="408" t="str">
        <f t="shared" si="9"/>
        <v>Importer 1</v>
      </c>
      <c r="C87" s="416" t="str">
        <f t="shared" si="9"/>
        <v>IMPORTER</v>
      </c>
      <c r="D87" s="416" t="str">
        <f t="shared" si="9"/>
        <v>Import Sales</v>
      </c>
      <c r="E87" s="416" t="s">
        <v>701</v>
      </c>
      <c r="F87" s="417" t="s">
        <v>702</v>
      </c>
      <c r="G87" s="318">
        <f t="shared" si="10"/>
        <v>0</v>
      </c>
      <c r="H87" s="318">
        <f t="shared" si="8"/>
        <v>0</v>
      </c>
      <c r="I87" s="318">
        <f t="shared" si="8"/>
        <v>0</v>
      </c>
      <c r="J87" s="318">
        <f t="shared" si="8"/>
        <v>0</v>
      </c>
      <c r="K87" s="318">
        <f t="shared" si="8"/>
        <v>0</v>
      </c>
      <c r="L87" s="487">
        <f>Pro!G107/100</f>
        <v>0</v>
      </c>
      <c r="M87" s="406">
        <f>Pro!H107/100</f>
        <v>0</v>
      </c>
      <c r="N87" s="406">
        <f>Pro!I107/100</f>
        <v>0</v>
      </c>
      <c r="O87" s="406">
        <f>Pro!J107/100</f>
        <v>0</v>
      </c>
      <c r="P87" s="406">
        <f>Pro!K107/100</f>
        <v>0</v>
      </c>
    </row>
    <row r="88" spans="2:20" x14ac:dyDescent="0.3">
      <c r="B88" s="408" t="str">
        <f t="shared" si="9"/>
        <v>Importer 1</v>
      </c>
      <c r="C88" s="416" t="str">
        <f t="shared" si="9"/>
        <v>IMPORTER</v>
      </c>
      <c r="D88" s="416" t="str">
        <f t="shared" si="9"/>
        <v>Import Sales</v>
      </c>
      <c r="E88" s="416" t="s">
        <v>703</v>
      </c>
      <c r="F88" s="417" t="s">
        <v>704</v>
      </c>
      <c r="G88" s="318">
        <f t="shared" si="10"/>
        <v>0</v>
      </c>
      <c r="H88" s="318">
        <f t="shared" si="8"/>
        <v>0</v>
      </c>
      <c r="I88" s="318">
        <f t="shared" si="8"/>
        <v>0</v>
      </c>
      <c r="J88" s="318">
        <f t="shared" si="8"/>
        <v>0</v>
      </c>
      <c r="K88" s="318">
        <f t="shared" si="8"/>
        <v>0</v>
      </c>
      <c r="L88" s="487">
        <f>Pro!G108/100</f>
        <v>0</v>
      </c>
      <c r="M88" s="406">
        <f>Pro!H108/100</f>
        <v>0</v>
      </c>
      <c r="N88" s="406">
        <f>Pro!I108/100</f>
        <v>0</v>
      </c>
      <c r="O88" s="406">
        <f>Pro!J108/100</f>
        <v>0</v>
      </c>
      <c r="P88" s="406">
        <f>Pro!K108/100</f>
        <v>0</v>
      </c>
    </row>
    <row r="89" spans="2:20" x14ac:dyDescent="0.3">
      <c r="B89" s="408" t="str">
        <f t="shared" si="9"/>
        <v>Importer 1</v>
      </c>
      <c r="C89" s="416" t="str">
        <f t="shared" si="9"/>
        <v>IMPORTER</v>
      </c>
      <c r="D89" s="416" t="str">
        <f t="shared" si="9"/>
        <v>Import Sales</v>
      </c>
      <c r="E89" s="416" t="s">
        <v>705</v>
      </c>
      <c r="F89" s="417" t="s">
        <v>706</v>
      </c>
      <c r="G89" s="318">
        <f t="shared" si="10"/>
        <v>0</v>
      </c>
      <c r="H89" s="318">
        <f t="shared" si="8"/>
        <v>0</v>
      </c>
      <c r="I89" s="318">
        <f t="shared" si="8"/>
        <v>0</v>
      </c>
      <c r="J89" s="318">
        <f t="shared" si="8"/>
        <v>0</v>
      </c>
      <c r="K89" s="318">
        <f t="shared" si="8"/>
        <v>0</v>
      </c>
      <c r="L89" s="487">
        <f>Pro!G109/100</f>
        <v>0</v>
      </c>
      <c r="M89" s="406">
        <f>Pro!H109/100</f>
        <v>0</v>
      </c>
      <c r="N89" s="406">
        <f>Pro!I109/100</f>
        <v>0</v>
      </c>
      <c r="O89" s="406">
        <f>Pro!J109/100</f>
        <v>0</v>
      </c>
      <c r="P89" s="406">
        <f>Pro!K109/100</f>
        <v>0</v>
      </c>
    </row>
    <row r="90" spans="2:20" x14ac:dyDescent="0.3">
      <c r="B90" s="303"/>
      <c r="C90" s="304"/>
      <c r="D90" s="304"/>
      <c r="E90" s="304"/>
      <c r="F90" s="404"/>
      <c r="G90" s="318"/>
      <c r="H90" s="318"/>
      <c r="I90" s="405"/>
      <c r="J90" s="324"/>
      <c r="K90" s="324"/>
      <c r="L90" s="406"/>
      <c r="M90" s="406"/>
      <c r="N90" s="406"/>
      <c r="O90" s="406"/>
      <c r="P90" s="406"/>
      <c r="Q90" s="324"/>
      <c r="R90" s="324"/>
      <c r="S90" s="324"/>
      <c r="T90" s="324"/>
    </row>
    <row r="91" spans="2:20" x14ac:dyDescent="0.3">
      <c r="B91" s="409" t="s">
        <v>774</v>
      </c>
      <c r="C91" s="410"/>
      <c r="D91" s="410" t="s">
        <v>616</v>
      </c>
      <c r="E91" s="410" t="s">
        <v>617</v>
      </c>
      <c r="F91" s="411" t="s">
        <v>618</v>
      </c>
      <c r="G91" s="409" t="s">
        <v>765</v>
      </c>
      <c r="H91" s="409" t="s">
        <v>773</v>
      </c>
      <c r="I91" s="405"/>
      <c r="J91" s="324"/>
      <c r="K91" s="324"/>
      <c r="L91" s="406"/>
      <c r="M91" s="406"/>
      <c r="N91" s="406"/>
      <c r="O91" s="406"/>
      <c r="P91" s="406"/>
      <c r="Q91" s="324"/>
      <c r="R91" s="324"/>
      <c r="S91" s="324"/>
      <c r="T91" s="324"/>
    </row>
    <row r="92" spans="2:20" x14ac:dyDescent="0.3">
      <c r="B92" s="412" t="s">
        <v>775</v>
      </c>
      <c r="C92" s="410"/>
      <c r="D92" s="410">
        <f>'Imp-Exp1'!$G$37+'Imp-Exp1'!$G$53+'Imp-Exp1'!$G$69</f>
        <v>0</v>
      </c>
      <c r="E92" s="410">
        <f>'Imp-Exp1'!H37+'Imp-Exp1'!H53+'Imp-Exp1'!H69</f>
        <v>0</v>
      </c>
      <c r="F92" s="410">
        <f>'Imp-Exp1'!I37+'Imp-Exp1'!I53+'Imp-Exp1'!I69</f>
        <v>0</v>
      </c>
      <c r="G92" s="410">
        <f>'Imp-Exp1'!J37+'Imp-Exp1'!J53+'Imp-Exp1'!J69</f>
        <v>0</v>
      </c>
      <c r="H92" s="410">
        <f>'Imp-Exp1'!K37+'Imp-Exp1'!K53+'Imp-Exp1'!K69</f>
        <v>0</v>
      </c>
      <c r="I92" s="405"/>
      <c r="J92" s="324"/>
      <c r="K92" s="324"/>
      <c r="L92" s="406"/>
      <c r="M92" s="406"/>
      <c r="N92" s="406"/>
      <c r="O92" s="406"/>
      <c r="P92" s="406"/>
      <c r="Q92" s="324"/>
      <c r="R92" s="324"/>
      <c r="S92" s="324"/>
      <c r="T92" s="324"/>
    </row>
    <row r="93" spans="2:20" x14ac:dyDescent="0.3">
      <c r="B93" s="412" t="s">
        <v>776</v>
      </c>
      <c r="C93" s="410"/>
      <c r="D93" s="410">
        <f>'Imp-Exp2'!G$37+'Imp-Exp2'!G$53+'Imp-Exp2'!G$69</f>
        <v>0</v>
      </c>
      <c r="E93" s="410">
        <f>'Imp-Exp2'!H$37+'Imp-Exp2'!H$53+'Imp-Exp2'!H$69</f>
        <v>0</v>
      </c>
      <c r="F93" s="410">
        <f>'Imp-Exp2'!I$37+'Imp-Exp2'!I$53+'Imp-Exp2'!I$69</f>
        <v>0</v>
      </c>
      <c r="G93" s="410">
        <f>'Imp-Exp2'!J$37+'Imp-Exp2'!J$53+'Imp-Exp2'!J$69</f>
        <v>0</v>
      </c>
      <c r="H93" s="410">
        <f>'Imp-Exp2'!K$37+'Imp-Exp2'!K$53+'Imp-Exp2'!K$69</f>
        <v>0</v>
      </c>
      <c r="I93" s="405"/>
      <c r="J93" s="324"/>
      <c r="K93" s="324"/>
      <c r="L93" s="406"/>
      <c r="M93" s="406"/>
      <c r="N93" s="406"/>
      <c r="O93" s="406"/>
      <c r="P93" s="406"/>
      <c r="Q93" s="324"/>
      <c r="R93" s="324"/>
      <c r="S93" s="324"/>
      <c r="T93" s="324"/>
    </row>
    <row r="94" spans="2:20" x14ac:dyDescent="0.3">
      <c r="B94" s="412" t="s">
        <v>777</v>
      </c>
      <c r="C94" s="410"/>
      <c r="D94" s="410">
        <f>'Imp-Exp3'!G$37+'Imp-Exp3'!G$53+'Imp-Exp3'!G$69</f>
        <v>0</v>
      </c>
      <c r="E94" s="410">
        <f>'Imp-Exp3'!H$37+'Imp-Exp3'!H$53+'Imp-Exp3'!H$69</f>
        <v>0</v>
      </c>
      <c r="F94" s="410">
        <f>'Imp-Exp3'!I$37+'Imp-Exp3'!I$53+'Imp-Exp3'!I$69</f>
        <v>0</v>
      </c>
      <c r="G94" s="410">
        <f>'Imp-Exp3'!J$37+'Imp-Exp3'!J$53+'Imp-Exp3'!J$69</f>
        <v>0</v>
      </c>
      <c r="H94" s="410">
        <f>'Imp-Exp3'!K$37+'Imp-Exp3'!K$53+'Imp-Exp3'!K$69</f>
        <v>0</v>
      </c>
      <c r="I94" s="405"/>
      <c r="J94" s="324"/>
      <c r="K94" s="324"/>
      <c r="L94" s="406"/>
      <c r="M94" s="406"/>
      <c r="N94" s="406"/>
      <c r="O94" s="406"/>
      <c r="P94" s="406"/>
      <c r="Q94" s="324"/>
      <c r="R94" s="324"/>
      <c r="S94" s="324"/>
      <c r="T94" s="324"/>
    </row>
    <row r="95" spans="2:20" x14ac:dyDescent="0.3">
      <c r="B95" s="413" t="s">
        <v>778</v>
      </c>
      <c r="C95" s="409"/>
      <c r="D95" s="410">
        <f>'Imp-US'!G$37+'Imp-US'!G$53+'Imp-US'!G$69</f>
        <v>0</v>
      </c>
      <c r="E95" s="410">
        <f>'Imp-US'!H$37+'Imp-US'!H$53+'Imp-US'!H$69</f>
        <v>0</v>
      </c>
      <c r="F95" s="410">
        <f>'Imp-US'!I$37+'Imp-US'!I$53+'Imp-US'!I$69</f>
        <v>0</v>
      </c>
      <c r="G95" s="410">
        <f>'Imp-US'!J$37+'Imp-US'!J$53+'Imp-US'!J$69</f>
        <v>0</v>
      </c>
      <c r="H95" s="410">
        <f>'Imp-US'!K$37+'Imp-US'!K$53+'Imp-US'!K$69</f>
        <v>0</v>
      </c>
      <c r="I95" s="407"/>
      <c r="J95" s="324"/>
      <c r="K95" s="324"/>
      <c r="L95" s="324"/>
      <c r="M95" s="324"/>
      <c r="N95" s="324"/>
      <c r="O95" s="324"/>
      <c r="P95" s="324"/>
      <c r="Q95" s="324"/>
      <c r="R95" s="324"/>
      <c r="S95" s="324"/>
      <c r="T95" s="324"/>
    </row>
    <row r="96" spans="2:20" x14ac:dyDescent="0.3">
      <c r="B96" s="413" t="s">
        <v>779</v>
      </c>
      <c r="C96" s="409"/>
      <c r="D96" s="410">
        <f>'Imp-Other-Autre'!G$37+'Imp-Other-Autre'!G$53+'Imp-Other-Autre'!G$69</f>
        <v>0</v>
      </c>
      <c r="E96" s="410">
        <f>'Imp-Other-Autre'!H$37+'Imp-Other-Autre'!H$53+'Imp-Other-Autre'!H$69</f>
        <v>0</v>
      </c>
      <c r="F96" s="410">
        <f>'Imp-Other-Autre'!I$37+'Imp-Other-Autre'!I$53+'Imp-Other-Autre'!I$69</f>
        <v>0</v>
      </c>
      <c r="G96" s="410">
        <f>'Imp-Other-Autre'!J$37+'Imp-Other-Autre'!J$53+'Imp-Other-Autre'!J$69</f>
        <v>0</v>
      </c>
      <c r="H96" s="410">
        <f>'Imp-Other-Autre'!K$37+'Imp-Other-Autre'!K$53+'Imp-Other-Autre'!K$69</f>
        <v>0</v>
      </c>
    </row>
    <row r="97" spans="1:34" x14ac:dyDescent="0.3">
      <c r="B97" s="413"/>
      <c r="C97" s="409"/>
      <c r="D97" s="410"/>
      <c r="E97" s="410"/>
      <c r="F97" s="410"/>
      <c r="G97" s="410"/>
      <c r="H97" s="410"/>
    </row>
    <row r="98" spans="1:34" x14ac:dyDescent="0.3">
      <c r="P98" t="s">
        <v>789</v>
      </c>
    </row>
    <row r="99" spans="1:34" ht="1.5" customHeight="1" x14ac:dyDescent="0.3">
      <c r="B99" s="852" t="s">
        <v>707</v>
      </c>
      <c r="C99" s="853"/>
    </row>
    <row r="100" spans="1:34" x14ac:dyDescent="0.3">
      <c r="B100" s="854"/>
      <c r="C100" s="855"/>
      <c r="Z100">
        <v>1000</v>
      </c>
    </row>
    <row r="101" spans="1:34" ht="35.4" x14ac:dyDescent="0.3">
      <c r="B101" s="420" t="s">
        <v>631</v>
      </c>
      <c r="C101" s="421" t="s">
        <v>632</v>
      </c>
      <c r="D101" s="420" t="s">
        <v>633</v>
      </c>
      <c r="E101" s="426" t="s">
        <v>662</v>
      </c>
      <c r="F101" s="427" t="s">
        <v>636</v>
      </c>
      <c r="G101" s="427" t="s">
        <v>637</v>
      </c>
      <c r="H101" s="420" t="s">
        <v>638</v>
      </c>
      <c r="I101" s="420" t="s">
        <v>639</v>
      </c>
      <c r="J101" s="422" t="s">
        <v>640</v>
      </c>
      <c r="K101" s="420" t="s">
        <v>641</v>
      </c>
      <c r="L101" s="423" t="s">
        <v>642</v>
      </c>
      <c r="M101" s="423" t="s">
        <v>643</v>
      </c>
      <c r="N101" s="420" t="s">
        <v>708</v>
      </c>
      <c r="O101" s="423" t="s">
        <v>709</v>
      </c>
      <c r="P101" s="420" t="s">
        <v>710</v>
      </c>
      <c r="Q101" s="424" t="s">
        <v>644</v>
      </c>
      <c r="R101" s="425" t="s">
        <v>665</v>
      </c>
      <c r="S101" s="425" t="s">
        <v>666</v>
      </c>
      <c r="T101" s="425" t="s">
        <v>667</v>
      </c>
      <c r="U101" s="425" t="s">
        <v>668</v>
      </c>
      <c r="V101" s="425" t="s">
        <v>669</v>
      </c>
      <c r="W101" s="425" t="s">
        <v>670</v>
      </c>
      <c r="X101" s="425" t="s">
        <v>671</v>
      </c>
      <c r="Y101" s="425" t="s">
        <v>772</v>
      </c>
      <c r="Z101" s="425" t="s">
        <v>672</v>
      </c>
      <c r="AA101" s="425" t="s">
        <v>673</v>
      </c>
      <c r="AB101" s="425" t="s">
        <v>674</v>
      </c>
      <c r="AC101" s="425" t="s">
        <v>675</v>
      </c>
      <c r="AD101" s="425" t="s">
        <v>676</v>
      </c>
      <c r="AE101" s="425" t="s">
        <v>677</v>
      </c>
      <c r="AF101" s="425" t="s">
        <v>678</v>
      </c>
      <c r="AG101" s="425" t="s">
        <v>772</v>
      </c>
    </row>
    <row r="102" spans="1:34" s="302" customFormat="1" x14ac:dyDescent="0.3">
      <c r="B102" s="305">
        <f>Intro!$E$69</f>
        <v>0</v>
      </c>
      <c r="C102" s="305">
        <f>B102</f>
        <v>0</v>
      </c>
      <c r="D102" s="305" t="s">
        <v>648</v>
      </c>
      <c r="E102" s="476"/>
      <c r="F102" s="476"/>
      <c r="G102" s="476"/>
      <c r="H102" s="305" t="s">
        <v>649</v>
      </c>
      <c r="I102" s="305" t="s">
        <v>650</v>
      </c>
      <c r="J102" s="305" t="s">
        <v>651</v>
      </c>
      <c r="K102" s="305" t="s">
        <v>621</v>
      </c>
      <c r="L102" s="305"/>
      <c r="M102" s="305" t="s">
        <v>652</v>
      </c>
      <c r="N102" s="302" t="s">
        <v>45</v>
      </c>
      <c r="O102" s="306" t="str">
        <f>'Imp-Exp1'!B97</f>
        <v xml:space="preserve">Account 1 - </v>
      </c>
      <c r="P102" s="305"/>
      <c r="Q102" s="308" t="s">
        <v>654</v>
      </c>
      <c r="R102" s="302">
        <f>'Imp-Exp1'!E$98</f>
        <v>0</v>
      </c>
      <c r="S102" s="302">
        <f>'Imp-Exp1'!F$98</f>
        <v>0</v>
      </c>
      <c r="T102" s="302">
        <f>'Imp-Exp1'!G$98</f>
        <v>0</v>
      </c>
      <c r="U102" s="302">
        <f>'Imp-Exp1'!H$98</f>
        <v>0</v>
      </c>
      <c r="V102" s="302">
        <f>'Imp-Exp1'!I$98</f>
        <v>0</v>
      </c>
      <c r="W102" s="302">
        <f>'Imp-Exp1'!J$98</f>
        <v>0</v>
      </c>
      <c r="X102" s="302">
        <f>'Imp-Exp1'!K$98</f>
        <v>0</v>
      </c>
      <c r="Y102" s="302">
        <f>'Imp-Exp1'!L$98</f>
        <v>0</v>
      </c>
      <c r="Z102" s="418">
        <f>'Imp-Exp1'!E99/1000</f>
        <v>0</v>
      </c>
      <c r="AA102" s="368">
        <f>'Imp-Exp1'!F99/1000</f>
        <v>0</v>
      </c>
      <c r="AB102" s="368">
        <f>'Imp-Exp1'!G99/1000</f>
        <v>0</v>
      </c>
      <c r="AC102" s="368">
        <f>'Imp-Exp1'!H99/1000</f>
        <v>0</v>
      </c>
      <c r="AD102" s="368">
        <f>'Imp-Exp1'!I99/1000</f>
        <v>0</v>
      </c>
      <c r="AE102" s="368">
        <f>'Imp-Exp1'!J99/1000</f>
        <v>0</v>
      </c>
      <c r="AF102" s="368">
        <f>'Imp-Exp1'!K99/1000</f>
        <v>0</v>
      </c>
      <c r="AG102" s="368">
        <f>'Imp-Exp1'!L99/1000</f>
        <v>0</v>
      </c>
      <c r="AH102" s="368"/>
    </row>
    <row r="103" spans="1:34" x14ac:dyDescent="0.3">
      <c r="B103" s="307">
        <f>Intro!$E$69</f>
        <v>0</v>
      </c>
      <c r="C103" s="305">
        <f t="shared" ref="C103:C131" si="11">B103</f>
        <v>0</v>
      </c>
      <c r="D103" s="307" t="str">
        <f>D102</f>
        <v>2 - Importer</v>
      </c>
      <c r="E103" s="477"/>
      <c r="F103" s="477"/>
      <c r="G103" s="477"/>
      <c r="H103" s="307" t="str">
        <f>H102</f>
        <v>B - Vendor 1</v>
      </c>
      <c r="I103" s="307" t="s">
        <v>650</v>
      </c>
      <c r="J103" s="307" t="s">
        <v>651</v>
      </c>
      <c r="K103" s="307" t="s">
        <v>621</v>
      </c>
      <c r="L103" s="307"/>
      <c r="M103" s="307" t="s">
        <v>652</v>
      </c>
      <c r="N103" s="362" t="s">
        <v>47</v>
      </c>
      <c r="O103" s="310" t="str">
        <f>'Imp-Exp1'!B101</f>
        <v xml:space="preserve">Account 2 - </v>
      </c>
      <c r="P103" s="307"/>
      <c r="Q103" s="311" t="str">
        <f>Q102</f>
        <v>Imp-Sls</v>
      </c>
      <c r="R103">
        <f>'Imp-Exp1'!E102</f>
        <v>0</v>
      </c>
      <c r="S103">
        <f>'Imp-Exp1'!F102</f>
        <v>0</v>
      </c>
      <c r="T103">
        <f>'Imp-Exp1'!G102</f>
        <v>0</v>
      </c>
      <c r="U103">
        <f>'Imp-Exp1'!H102</f>
        <v>0</v>
      </c>
      <c r="V103">
        <f>'Imp-Exp1'!I102</f>
        <v>0</v>
      </c>
      <c r="W103">
        <f>'Imp-Exp1'!J102</f>
        <v>0</v>
      </c>
      <c r="X103">
        <f>'Imp-Exp1'!K102</f>
        <v>0</v>
      </c>
      <c r="Y103">
        <f>'Imp-Exp1'!L102</f>
        <v>0</v>
      </c>
      <c r="Z103" s="419">
        <f>'Imp-Exp1'!E103/1000</f>
        <v>0</v>
      </c>
      <c r="AA103" s="370">
        <f>'Imp-Exp1'!F103/1000</f>
        <v>0</v>
      </c>
      <c r="AB103" s="370">
        <f>'Imp-Exp1'!G103/1000</f>
        <v>0</v>
      </c>
      <c r="AC103" s="370">
        <f>'Imp-Exp1'!H103/1000</f>
        <v>0</v>
      </c>
      <c r="AD103" s="370">
        <f>'Imp-Exp1'!I103/1000</f>
        <v>0</v>
      </c>
      <c r="AE103" s="370">
        <f>'Imp-Exp1'!J103/1000</f>
        <v>0</v>
      </c>
      <c r="AF103" s="370">
        <f>'Imp-Exp1'!K103/1000</f>
        <v>0</v>
      </c>
      <c r="AG103" s="370">
        <f>'Imp-Exp1'!L103/1000</f>
        <v>0</v>
      </c>
      <c r="AH103" s="370"/>
    </row>
    <row r="104" spans="1:34" x14ac:dyDescent="0.3">
      <c r="B104" s="307">
        <f>Intro!$E$69</f>
        <v>0</v>
      </c>
      <c r="C104" s="305">
        <f t="shared" si="11"/>
        <v>0</v>
      </c>
      <c r="D104" s="307" t="str">
        <f t="shared" ref="D104:D119" si="12">D103</f>
        <v>2 - Importer</v>
      </c>
      <c r="E104" s="477"/>
      <c r="F104" s="477"/>
      <c r="G104" s="477"/>
      <c r="H104" s="307" t="str">
        <f t="shared" ref="H104:H107" si="13">H103</f>
        <v>B - Vendor 1</v>
      </c>
      <c r="I104" s="307" t="s">
        <v>650</v>
      </c>
      <c r="J104" s="307" t="s">
        <v>651</v>
      </c>
      <c r="K104" s="307" t="s">
        <v>621</v>
      </c>
      <c r="L104" s="307"/>
      <c r="M104" s="307" t="s">
        <v>652</v>
      </c>
      <c r="N104" s="362" t="s">
        <v>49</v>
      </c>
      <c r="O104" s="310" t="str">
        <f>'Imp-Exp1'!B105</f>
        <v xml:space="preserve">Account 3 - </v>
      </c>
      <c r="P104" s="307"/>
      <c r="Q104" s="311" t="str">
        <f>Q103</f>
        <v>Imp-Sls</v>
      </c>
      <c r="R104">
        <f>'Imp-Exp1'!E106</f>
        <v>0</v>
      </c>
      <c r="S104">
        <f>'Imp-Exp1'!F106</f>
        <v>0</v>
      </c>
      <c r="T104">
        <f>'Imp-Exp1'!G106</f>
        <v>0</v>
      </c>
      <c r="U104">
        <f>'Imp-Exp1'!H106</f>
        <v>0</v>
      </c>
      <c r="V104">
        <f>'Imp-Exp1'!I106</f>
        <v>0</v>
      </c>
      <c r="W104">
        <f>'Imp-Exp1'!J106</f>
        <v>0</v>
      </c>
      <c r="X104">
        <f>'Imp-Exp1'!K106</f>
        <v>0</v>
      </c>
      <c r="Y104">
        <f>'Imp-Exp1'!L106</f>
        <v>0</v>
      </c>
      <c r="Z104" s="419">
        <f>'Imp-Exp1'!E107/1000</f>
        <v>0</v>
      </c>
      <c r="AA104" s="370">
        <f>'Imp-Exp1'!F107/1000</f>
        <v>0</v>
      </c>
      <c r="AB104" s="370">
        <f>'Imp-Exp1'!G107/1000</f>
        <v>0</v>
      </c>
      <c r="AC104" s="370">
        <f>'Imp-Exp1'!H107/1000</f>
        <v>0</v>
      </c>
      <c r="AD104" s="370">
        <f>'Imp-Exp1'!I107/1000</f>
        <v>0</v>
      </c>
      <c r="AE104" s="370">
        <f>'Imp-Exp1'!J107/1000</f>
        <v>0</v>
      </c>
      <c r="AF104" s="370">
        <f>'Imp-Exp1'!K107/1000</f>
        <v>0</v>
      </c>
      <c r="AG104" s="370">
        <f>'Imp-Exp1'!L107/1000</f>
        <v>0</v>
      </c>
      <c r="AH104" s="370"/>
    </row>
    <row r="105" spans="1:34" x14ac:dyDescent="0.3">
      <c r="B105" s="307">
        <f>Intro!$E$69</f>
        <v>0</v>
      </c>
      <c r="C105" s="305">
        <f t="shared" si="11"/>
        <v>0</v>
      </c>
      <c r="D105" s="307" t="str">
        <f t="shared" si="12"/>
        <v>2 - Importer</v>
      </c>
      <c r="E105" s="477"/>
      <c r="F105" s="477"/>
      <c r="G105" s="477"/>
      <c r="H105" s="307" t="str">
        <f t="shared" si="13"/>
        <v>B - Vendor 1</v>
      </c>
      <c r="I105" s="307" t="s">
        <v>650</v>
      </c>
      <c r="J105" s="307" t="s">
        <v>651</v>
      </c>
      <c r="K105" s="307" t="s">
        <v>621</v>
      </c>
      <c r="L105" s="307"/>
      <c r="M105" s="307" t="s">
        <v>652</v>
      </c>
      <c r="N105" s="362" t="s">
        <v>51</v>
      </c>
      <c r="O105" s="310" t="str">
        <f>'Imp-Exp1'!B109</f>
        <v xml:space="preserve">Account 4 - </v>
      </c>
      <c r="P105" s="307"/>
      <c r="Q105" s="311" t="str">
        <f>Q104</f>
        <v>Imp-Sls</v>
      </c>
      <c r="R105">
        <f>'Imp-Exp1'!E110</f>
        <v>0</v>
      </c>
      <c r="S105">
        <f>'Imp-Exp1'!F110</f>
        <v>0</v>
      </c>
      <c r="T105">
        <f>'Imp-Exp1'!G110</f>
        <v>0</v>
      </c>
      <c r="U105">
        <f>'Imp-Exp1'!H110</f>
        <v>0</v>
      </c>
      <c r="V105">
        <f>'Imp-Exp1'!I110</f>
        <v>0</v>
      </c>
      <c r="W105">
        <f>'Imp-Exp1'!J110</f>
        <v>0</v>
      </c>
      <c r="X105">
        <f>'Imp-Exp1'!K110</f>
        <v>0</v>
      </c>
      <c r="Y105">
        <f>'Imp-Exp1'!L110</f>
        <v>0</v>
      </c>
      <c r="Z105" s="419">
        <f>'Imp-Exp1'!E111/1000</f>
        <v>0</v>
      </c>
      <c r="AA105" s="370">
        <f>'Imp-Exp1'!F111/1000</f>
        <v>0</v>
      </c>
      <c r="AB105" s="370">
        <f>'Imp-Exp1'!G111/1000</f>
        <v>0</v>
      </c>
      <c r="AC105" s="370">
        <f>'Imp-Exp1'!H111/1000</f>
        <v>0</v>
      </c>
      <c r="AD105" s="370">
        <f>'Imp-Exp1'!I111/1000</f>
        <v>0</v>
      </c>
      <c r="AE105" s="370">
        <f>'Imp-Exp1'!J111/1000</f>
        <v>0</v>
      </c>
      <c r="AF105" s="370">
        <f>'Imp-Exp1'!K111/1000</f>
        <v>0</v>
      </c>
      <c r="AG105" s="370">
        <f>'Imp-Exp1'!L111/1000</f>
        <v>0</v>
      </c>
      <c r="AH105" s="370"/>
    </row>
    <row r="106" spans="1:34" x14ac:dyDescent="0.3">
      <c r="B106" s="307">
        <f>Intro!$E$69</f>
        <v>0</v>
      </c>
      <c r="C106" s="305">
        <f t="shared" si="11"/>
        <v>0</v>
      </c>
      <c r="D106" s="307" t="str">
        <f t="shared" si="12"/>
        <v>2 - Importer</v>
      </c>
      <c r="E106" s="477"/>
      <c r="F106" s="477"/>
      <c r="G106" s="477"/>
      <c r="H106" s="307" t="str">
        <f t="shared" si="13"/>
        <v>B - Vendor 1</v>
      </c>
      <c r="I106" s="307" t="s">
        <v>650</v>
      </c>
      <c r="J106" s="307" t="s">
        <v>651</v>
      </c>
      <c r="K106" s="307" t="s">
        <v>621</v>
      </c>
      <c r="L106" s="307"/>
      <c r="M106" s="307" t="s">
        <v>652</v>
      </c>
      <c r="N106" s="362" t="s">
        <v>53</v>
      </c>
      <c r="O106" s="310" t="str">
        <f>'Imp-Exp1'!B113</f>
        <v xml:space="preserve">Account 5 - </v>
      </c>
      <c r="P106" s="307"/>
      <c r="Q106" s="311" t="str">
        <f>Q105</f>
        <v>Imp-Sls</v>
      </c>
      <c r="R106">
        <f>'Imp-Exp1'!E114</f>
        <v>0</v>
      </c>
      <c r="S106">
        <f>'Imp-Exp1'!F114</f>
        <v>0</v>
      </c>
      <c r="T106">
        <f>'Imp-Exp1'!G114</f>
        <v>0</v>
      </c>
      <c r="U106">
        <f>'Imp-Exp1'!H114</f>
        <v>0</v>
      </c>
      <c r="V106">
        <f>'Imp-Exp1'!I114</f>
        <v>0</v>
      </c>
      <c r="W106">
        <f>'Imp-Exp1'!J114</f>
        <v>0</v>
      </c>
      <c r="X106">
        <f>'Imp-Exp1'!K114</f>
        <v>0</v>
      </c>
      <c r="Y106">
        <f>'Imp-Exp1'!L114</f>
        <v>0</v>
      </c>
      <c r="Z106" s="419">
        <f>'Imp-Exp1'!E115/1000</f>
        <v>0</v>
      </c>
      <c r="AA106" s="370">
        <f>'Imp-Exp1'!F115/1000</f>
        <v>0</v>
      </c>
      <c r="AB106" s="370">
        <f>'Imp-Exp1'!G115/1000</f>
        <v>0</v>
      </c>
      <c r="AC106" s="370">
        <f>'Imp-Exp1'!H115/1000</f>
        <v>0</v>
      </c>
      <c r="AD106" s="370">
        <f>'Imp-Exp1'!I115/1000</f>
        <v>0</v>
      </c>
      <c r="AE106" s="370">
        <f>'Imp-Exp1'!J115/1000</f>
        <v>0</v>
      </c>
      <c r="AF106" s="370">
        <f>'Imp-Exp1'!K115/1000</f>
        <v>0</v>
      </c>
      <c r="AG106" s="370">
        <f>'Imp-Exp1'!L115/1000</f>
        <v>0</v>
      </c>
      <c r="AH106" s="370"/>
    </row>
    <row r="107" spans="1:34" x14ac:dyDescent="0.3">
      <c r="B107" s="307">
        <f>Intro!$E$69</f>
        <v>0</v>
      </c>
      <c r="C107" s="305">
        <f t="shared" si="11"/>
        <v>0</v>
      </c>
      <c r="D107" s="307" t="str">
        <f t="shared" ref="D107" si="14">D106</f>
        <v>2 - Importer</v>
      </c>
      <c r="E107" s="477"/>
      <c r="F107" s="477"/>
      <c r="G107" s="477"/>
      <c r="H107" s="307" t="str">
        <f t="shared" si="13"/>
        <v>B - Vendor 1</v>
      </c>
      <c r="I107" s="307" t="s">
        <v>650</v>
      </c>
      <c r="J107" s="307" t="s">
        <v>651</v>
      </c>
      <c r="K107" s="307" t="s">
        <v>621</v>
      </c>
      <c r="L107" s="307"/>
      <c r="M107" s="307" t="s">
        <v>652</v>
      </c>
      <c r="N107" s="362" t="s">
        <v>605</v>
      </c>
      <c r="O107" s="310" t="str">
        <f>'Imp-Exp1'!B117</f>
        <v xml:space="preserve">Account 6 - </v>
      </c>
      <c r="P107" s="307"/>
      <c r="Q107" s="311" t="str">
        <f t="shared" ref="Q107:Q131" si="15">Q106</f>
        <v>Imp-Sls</v>
      </c>
      <c r="R107">
        <f>'Imp-Exp1'!E118</f>
        <v>0</v>
      </c>
      <c r="S107">
        <f>'Imp-Exp1'!F118</f>
        <v>0</v>
      </c>
      <c r="T107">
        <f>'Imp-Exp1'!G118</f>
        <v>0</v>
      </c>
      <c r="U107">
        <f>'Imp-Exp1'!H118</f>
        <v>0</v>
      </c>
      <c r="V107">
        <f>'Imp-Exp1'!I118</f>
        <v>0</v>
      </c>
      <c r="W107">
        <f>'Imp-Exp1'!J118</f>
        <v>0</v>
      </c>
      <c r="X107">
        <f>'Imp-Exp1'!K118</f>
        <v>0</v>
      </c>
      <c r="Y107">
        <f>'Imp-Exp1'!L118</f>
        <v>0</v>
      </c>
      <c r="Z107" s="419">
        <f>'Imp-Exp1'!E119/1000</f>
        <v>0</v>
      </c>
      <c r="AA107" s="370">
        <f>'Imp-Exp1'!F119/1000</f>
        <v>0</v>
      </c>
      <c r="AB107" s="370">
        <f>'Imp-Exp1'!G119/1000</f>
        <v>0</v>
      </c>
      <c r="AC107" s="370">
        <f>'Imp-Exp1'!H119/1000</f>
        <v>0</v>
      </c>
      <c r="AD107" s="370">
        <f>'Imp-Exp1'!I119/1000</f>
        <v>0</v>
      </c>
      <c r="AE107" s="370">
        <f>'Imp-Exp1'!J119/1000</f>
        <v>0</v>
      </c>
      <c r="AF107" s="370">
        <f>'Imp-Exp1'!K119/1000</f>
        <v>0</v>
      </c>
      <c r="AG107" s="370">
        <f>'Imp-Exp1'!L119/1000</f>
        <v>0</v>
      </c>
      <c r="AH107" s="370"/>
    </row>
    <row r="108" spans="1:34" s="302" customFormat="1" x14ac:dyDescent="0.3">
      <c r="A108" s="320"/>
      <c r="B108" s="305">
        <f>Intro!$E$69</f>
        <v>0</v>
      </c>
      <c r="C108" s="305">
        <f t="shared" si="11"/>
        <v>0</v>
      </c>
      <c r="D108" s="305" t="str">
        <f t="shared" ref="D108" si="16">D107</f>
        <v>2 - Importer</v>
      </c>
      <c r="E108" s="476"/>
      <c r="F108" s="476"/>
      <c r="G108" s="476"/>
      <c r="H108" s="321" t="s">
        <v>684</v>
      </c>
      <c r="I108" s="305" t="s">
        <v>650</v>
      </c>
      <c r="J108" s="305" t="s">
        <v>651</v>
      </c>
      <c r="K108" s="305" t="s">
        <v>621</v>
      </c>
      <c r="L108" s="321"/>
      <c r="M108" s="305" t="s">
        <v>652</v>
      </c>
      <c r="N108" s="302" t="s">
        <v>45</v>
      </c>
      <c r="O108" s="322" t="str">
        <f>O102</f>
        <v xml:space="preserve">Account 1 - </v>
      </c>
      <c r="P108" s="321"/>
      <c r="Q108" s="308" t="str">
        <f t="shared" si="15"/>
        <v>Imp-Sls</v>
      </c>
      <c r="R108" s="302">
        <f>'Imp-Exp2'!E98</f>
        <v>0</v>
      </c>
      <c r="S108" s="302">
        <f>'Imp-Exp2'!F98</f>
        <v>0</v>
      </c>
      <c r="T108" s="302">
        <f>'Imp-Exp2'!G98</f>
        <v>0</v>
      </c>
      <c r="U108" s="302">
        <f>'Imp-Exp2'!H98</f>
        <v>0</v>
      </c>
      <c r="V108" s="302">
        <f>'Imp-Exp2'!I98</f>
        <v>0</v>
      </c>
      <c r="W108" s="302">
        <f>'Imp-Exp2'!J98</f>
        <v>0</v>
      </c>
      <c r="X108" s="302">
        <f>'Imp-Exp2'!K98</f>
        <v>0</v>
      </c>
      <c r="Y108" s="302">
        <f>'Imp-Exp2'!L98</f>
        <v>0</v>
      </c>
      <c r="Z108" s="418">
        <f>'Imp-Exp2'!E99/$Z$100</f>
        <v>0</v>
      </c>
      <c r="AA108" s="368">
        <f>'Imp-Exp2'!F99/$Z$100</f>
        <v>0</v>
      </c>
      <c r="AB108" s="368">
        <f>'Imp-Exp2'!G99/$Z$100</f>
        <v>0</v>
      </c>
      <c r="AC108" s="368">
        <f>'Imp-Exp2'!H99/$Z$100</f>
        <v>0</v>
      </c>
      <c r="AD108" s="368">
        <f>'Imp-Exp2'!I99/$Z$100</f>
        <v>0</v>
      </c>
      <c r="AE108" s="368">
        <f>'Imp-Exp2'!J99/$Z$100</f>
        <v>0</v>
      </c>
      <c r="AF108" s="368">
        <f>'Imp-Exp2'!K99/$Z$100</f>
        <v>0</v>
      </c>
      <c r="AG108" s="368">
        <f>'Imp-Exp2'!L99/$Z$100</f>
        <v>0</v>
      </c>
      <c r="AH108" s="368"/>
    </row>
    <row r="109" spans="1:34" x14ac:dyDescent="0.3">
      <c r="A109" s="323"/>
      <c r="B109" s="307">
        <f>Intro!$E$69</f>
        <v>0</v>
      </c>
      <c r="C109" s="305">
        <f t="shared" si="11"/>
        <v>0</v>
      </c>
      <c r="D109" s="307" t="str">
        <f t="shared" ref="D109:D112" si="17">D108</f>
        <v>2 - Importer</v>
      </c>
      <c r="E109" s="477"/>
      <c r="F109" s="477"/>
      <c r="G109" s="477"/>
      <c r="H109" s="312" t="str">
        <f>H108</f>
        <v>C - Vendor 2</v>
      </c>
      <c r="I109" s="307" t="s">
        <v>650</v>
      </c>
      <c r="J109" s="307" t="s">
        <v>651</v>
      </c>
      <c r="K109" s="307" t="s">
        <v>621</v>
      </c>
      <c r="L109" s="312"/>
      <c r="M109" s="307" t="s">
        <v>652</v>
      </c>
      <c r="N109" s="362" t="s">
        <v>47</v>
      </c>
      <c r="O109" s="313" t="str">
        <f t="shared" ref="O109:O113" si="18">O103</f>
        <v xml:space="preserve">Account 2 - </v>
      </c>
      <c r="P109" s="312"/>
      <c r="Q109" s="311" t="str">
        <f t="shared" si="15"/>
        <v>Imp-Sls</v>
      </c>
      <c r="R109">
        <f>'Imp-Exp2'!E102</f>
        <v>0</v>
      </c>
      <c r="S109">
        <f>'Imp-Exp2'!F102</f>
        <v>0</v>
      </c>
      <c r="T109">
        <f>'Imp-Exp2'!G102</f>
        <v>0</v>
      </c>
      <c r="U109">
        <f>'Imp-Exp2'!H102</f>
        <v>0</v>
      </c>
      <c r="V109">
        <f>'Imp-Exp2'!I102</f>
        <v>0</v>
      </c>
      <c r="W109">
        <f>'Imp-Exp2'!J102</f>
        <v>0</v>
      </c>
      <c r="X109">
        <f>'Imp-Exp2'!K102</f>
        <v>0</v>
      </c>
      <c r="Y109">
        <f>'Imp-Exp2'!L102</f>
        <v>0</v>
      </c>
      <c r="Z109" s="419">
        <f>'Imp-Exp2'!E103/$Z$100</f>
        <v>0</v>
      </c>
      <c r="AA109" s="370">
        <f>'Imp-Exp2'!F103/$Z$100</f>
        <v>0</v>
      </c>
      <c r="AB109" s="370">
        <f>'Imp-Exp2'!G103/$Z$100</f>
        <v>0</v>
      </c>
      <c r="AC109" s="370">
        <f>'Imp-Exp2'!H103/$Z$100</f>
        <v>0</v>
      </c>
      <c r="AD109" s="370">
        <f>'Imp-Exp2'!I103/$Z$100</f>
        <v>0</v>
      </c>
      <c r="AE109" s="370">
        <f>'Imp-Exp2'!J103/$Z$100</f>
        <v>0</v>
      </c>
      <c r="AF109" s="370">
        <f>'Imp-Exp2'!K103/$Z$100</f>
        <v>0</v>
      </c>
      <c r="AG109" s="370">
        <f>'Imp-Exp2'!L103/$Z$100</f>
        <v>0</v>
      </c>
      <c r="AH109" s="370"/>
    </row>
    <row r="110" spans="1:34" x14ac:dyDescent="0.3">
      <c r="A110" s="323"/>
      <c r="B110" s="307">
        <f>Intro!$E$69</f>
        <v>0</v>
      </c>
      <c r="C110" s="305">
        <f t="shared" si="11"/>
        <v>0</v>
      </c>
      <c r="D110" s="307" t="str">
        <f t="shared" si="17"/>
        <v>2 - Importer</v>
      </c>
      <c r="E110" s="477"/>
      <c r="F110" s="477"/>
      <c r="G110" s="477"/>
      <c r="H110" s="312" t="str">
        <f t="shared" ref="H110:H113" si="19">H109</f>
        <v>C - Vendor 2</v>
      </c>
      <c r="I110" s="307" t="s">
        <v>650</v>
      </c>
      <c r="J110" s="307" t="s">
        <v>651</v>
      </c>
      <c r="K110" s="307" t="s">
        <v>621</v>
      </c>
      <c r="L110" s="312"/>
      <c r="M110" s="307" t="s">
        <v>652</v>
      </c>
      <c r="N110" s="362" t="s">
        <v>49</v>
      </c>
      <c r="O110" s="313" t="str">
        <f t="shared" si="18"/>
        <v xml:space="preserve">Account 3 - </v>
      </c>
      <c r="P110" s="312"/>
      <c r="Q110" s="311" t="str">
        <f t="shared" si="15"/>
        <v>Imp-Sls</v>
      </c>
      <c r="R110">
        <f>'Imp-Exp2'!E106</f>
        <v>0</v>
      </c>
      <c r="S110">
        <f>'Imp-Exp2'!F106</f>
        <v>0</v>
      </c>
      <c r="T110">
        <f>'Imp-Exp2'!G106</f>
        <v>0</v>
      </c>
      <c r="U110">
        <f>'Imp-Exp2'!H106</f>
        <v>0</v>
      </c>
      <c r="V110">
        <f>'Imp-Exp2'!I106</f>
        <v>0</v>
      </c>
      <c r="W110">
        <f>'Imp-Exp2'!J106</f>
        <v>0</v>
      </c>
      <c r="X110">
        <f>'Imp-Exp2'!K106</f>
        <v>0</v>
      </c>
      <c r="Y110">
        <f>'Imp-Exp2'!L106</f>
        <v>0</v>
      </c>
      <c r="Z110" s="419">
        <f>'Imp-Exp2'!E107/$Z$100</f>
        <v>0</v>
      </c>
      <c r="AA110" s="370">
        <f>'Imp-Exp2'!F107/$Z$100</f>
        <v>0</v>
      </c>
      <c r="AB110" s="370">
        <f>'Imp-Exp2'!G107/$Z$100</f>
        <v>0</v>
      </c>
      <c r="AC110" s="370">
        <f>'Imp-Exp2'!H107/$Z$100</f>
        <v>0</v>
      </c>
      <c r="AD110" s="370">
        <f>'Imp-Exp2'!I107/$Z$100</f>
        <v>0</v>
      </c>
      <c r="AE110" s="370">
        <f>'Imp-Exp2'!J107/$Z$100</f>
        <v>0</v>
      </c>
      <c r="AF110" s="370">
        <f>'Imp-Exp2'!K107/$Z$100</f>
        <v>0</v>
      </c>
      <c r="AG110" s="370">
        <f>'Imp-Exp2'!L107/$Z$100</f>
        <v>0</v>
      </c>
      <c r="AH110" s="370"/>
    </row>
    <row r="111" spans="1:34" x14ac:dyDescent="0.3">
      <c r="A111" s="323"/>
      <c r="B111" s="307">
        <f>Intro!$E$69</f>
        <v>0</v>
      </c>
      <c r="C111" s="305">
        <f t="shared" si="11"/>
        <v>0</v>
      </c>
      <c r="D111" s="307" t="str">
        <f t="shared" si="17"/>
        <v>2 - Importer</v>
      </c>
      <c r="E111" s="477"/>
      <c r="F111" s="477"/>
      <c r="G111" s="477"/>
      <c r="H111" s="312" t="str">
        <f t="shared" si="19"/>
        <v>C - Vendor 2</v>
      </c>
      <c r="I111" s="307" t="s">
        <v>650</v>
      </c>
      <c r="J111" s="307" t="s">
        <v>651</v>
      </c>
      <c r="K111" s="307" t="s">
        <v>621</v>
      </c>
      <c r="L111" s="312"/>
      <c r="M111" s="307" t="s">
        <v>652</v>
      </c>
      <c r="N111" s="362" t="s">
        <v>51</v>
      </c>
      <c r="O111" s="313" t="str">
        <f t="shared" si="18"/>
        <v xml:space="preserve">Account 4 - </v>
      </c>
      <c r="P111" s="312"/>
      <c r="Q111" s="311" t="str">
        <f t="shared" si="15"/>
        <v>Imp-Sls</v>
      </c>
      <c r="R111">
        <f>'Imp-Exp2'!E110</f>
        <v>0</v>
      </c>
      <c r="S111">
        <f>'Imp-Exp2'!F110</f>
        <v>0</v>
      </c>
      <c r="T111">
        <f>'Imp-Exp2'!G110</f>
        <v>0</v>
      </c>
      <c r="U111">
        <f>'Imp-Exp2'!H110</f>
        <v>0</v>
      </c>
      <c r="V111">
        <f>'Imp-Exp2'!I110</f>
        <v>0</v>
      </c>
      <c r="W111">
        <f>'Imp-Exp2'!J110</f>
        <v>0</v>
      </c>
      <c r="X111">
        <f>'Imp-Exp2'!K110</f>
        <v>0</v>
      </c>
      <c r="Y111">
        <f>'Imp-Exp2'!L110</f>
        <v>0</v>
      </c>
      <c r="Z111" s="419">
        <f>'Imp-Exp2'!E111/$Z$100</f>
        <v>0</v>
      </c>
      <c r="AA111" s="370">
        <f>'Imp-Exp2'!F111/$Z$100</f>
        <v>0</v>
      </c>
      <c r="AB111" s="370">
        <f>'Imp-Exp2'!G111/$Z$100</f>
        <v>0</v>
      </c>
      <c r="AC111" s="370">
        <f>'Imp-Exp2'!H111/$Z$100</f>
        <v>0</v>
      </c>
      <c r="AD111" s="370">
        <f>'Imp-Exp2'!I111/$Z$100</f>
        <v>0</v>
      </c>
      <c r="AE111" s="370">
        <f>'Imp-Exp2'!J111/$Z$100</f>
        <v>0</v>
      </c>
      <c r="AF111" s="370">
        <f>'Imp-Exp2'!K111/$Z$100</f>
        <v>0</v>
      </c>
      <c r="AG111" s="370">
        <f>'Imp-Exp2'!L111/$Z$100</f>
        <v>0</v>
      </c>
      <c r="AH111" s="370"/>
    </row>
    <row r="112" spans="1:34" x14ac:dyDescent="0.3">
      <c r="A112" s="323"/>
      <c r="B112" s="307">
        <f>Intro!$E$69</f>
        <v>0</v>
      </c>
      <c r="C112" s="305">
        <f t="shared" si="11"/>
        <v>0</v>
      </c>
      <c r="D112" s="307" t="str">
        <f t="shared" si="17"/>
        <v>2 - Importer</v>
      </c>
      <c r="E112" s="477"/>
      <c r="F112" s="477"/>
      <c r="G112" s="477"/>
      <c r="H112" s="312" t="str">
        <f t="shared" si="19"/>
        <v>C - Vendor 2</v>
      </c>
      <c r="I112" s="307" t="s">
        <v>650</v>
      </c>
      <c r="J112" s="307" t="s">
        <v>651</v>
      </c>
      <c r="K112" s="307" t="s">
        <v>621</v>
      </c>
      <c r="L112" s="312"/>
      <c r="M112" s="307" t="s">
        <v>652</v>
      </c>
      <c r="N112" s="362" t="s">
        <v>53</v>
      </c>
      <c r="O112" s="313" t="str">
        <f t="shared" si="18"/>
        <v xml:space="preserve">Account 5 - </v>
      </c>
      <c r="P112" s="312"/>
      <c r="Q112" s="311" t="str">
        <f t="shared" si="15"/>
        <v>Imp-Sls</v>
      </c>
      <c r="R112">
        <f>'Imp-Exp2'!E114</f>
        <v>0</v>
      </c>
      <c r="S112">
        <f>'Imp-Exp2'!F114</f>
        <v>0</v>
      </c>
      <c r="T112">
        <f>'Imp-Exp2'!G114</f>
        <v>0</v>
      </c>
      <c r="U112">
        <f>'Imp-Exp2'!H114</f>
        <v>0</v>
      </c>
      <c r="V112">
        <f>'Imp-Exp2'!I114</f>
        <v>0</v>
      </c>
      <c r="W112">
        <f>'Imp-Exp2'!J114</f>
        <v>0</v>
      </c>
      <c r="X112">
        <f>'Imp-Exp2'!K114</f>
        <v>0</v>
      </c>
      <c r="Y112">
        <f>'Imp-Exp2'!L114</f>
        <v>0</v>
      </c>
      <c r="Z112" s="419">
        <f>'Imp-Exp2'!E115/$Z$100</f>
        <v>0</v>
      </c>
      <c r="AA112" s="370">
        <f>'Imp-Exp2'!F115/$Z$100</f>
        <v>0</v>
      </c>
      <c r="AB112" s="370">
        <f>'Imp-Exp2'!G115/$Z$100</f>
        <v>0</v>
      </c>
      <c r="AC112" s="370">
        <f>'Imp-Exp2'!H115/$Z$100</f>
        <v>0</v>
      </c>
      <c r="AD112" s="370">
        <f>'Imp-Exp2'!I115/$Z$100</f>
        <v>0</v>
      </c>
      <c r="AE112" s="370">
        <f>'Imp-Exp2'!J115/$Z$100</f>
        <v>0</v>
      </c>
      <c r="AF112" s="370">
        <f>'Imp-Exp2'!K115/$Z$100</f>
        <v>0</v>
      </c>
      <c r="AG112" s="370">
        <f>'Imp-Exp2'!L115/$Z$100</f>
        <v>0</v>
      </c>
      <c r="AH112" s="370"/>
    </row>
    <row r="113" spans="1:34" x14ac:dyDescent="0.3">
      <c r="A113" s="323"/>
      <c r="B113" s="307">
        <f>Intro!$E$69</f>
        <v>0</v>
      </c>
      <c r="C113" s="305">
        <f t="shared" si="11"/>
        <v>0</v>
      </c>
      <c r="D113" s="307" t="str">
        <f t="shared" ref="D113" si="20">D112</f>
        <v>2 - Importer</v>
      </c>
      <c r="E113" s="477"/>
      <c r="F113" s="477"/>
      <c r="G113" s="477"/>
      <c r="H113" s="312" t="str">
        <f t="shared" si="19"/>
        <v>C - Vendor 2</v>
      </c>
      <c r="I113" s="307" t="s">
        <v>650</v>
      </c>
      <c r="J113" s="307" t="s">
        <v>651</v>
      </c>
      <c r="K113" s="307" t="s">
        <v>621</v>
      </c>
      <c r="L113" s="312"/>
      <c r="M113" s="307" t="s">
        <v>652</v>
      </c>
      <c r="N113" s="362" t="s">
        <v>605</v>
      </c>
      <c r="O113" s="313" t="str">
        <f t="shared" si="18"/>
        <v xml:space="preserve">Account 6 - </v>
      </c>
      <c r="P113" s="312"/>
      <c r="Q113" s="311" t="str">
        <f t="shared" si="15"/>
        <v>Imp-Sls</v>
      </c>
      <c r="R113">
        <f>'Imp-Exp2'!E118</f>
        <v>0</v>
      </c>
      <c r="S113">
        <f>'Imp-Exp2'!F118</f>
        <v>0</v>
      </c>
      <c r="T113">
        <f>'Imp-Exp2'!G118</f>
        <v>0</v>
      </c>
      <c r="U113">
        <f>'Imp-Exp2'!H118</f>
        <v>0</v>
      </c>
      <c r="V113">
        <f>'Imp-Exp2'!I118</f>
        <v>0</v>
      </c>
      <c r="W113">
        <f>'Imp-Exp2'!J118</f>
        <v>0</v>
      </c>
      <c r="X113">
        <f>'Imp-Exp2'!K118</f>
        <v>0</v>
      </c>
      <c r="Y113">
        <f>'Imp-Exp2'!L118</f>
        <v>0</v>
      </c>
      <c r="Z113" s="419">
        <f>'Imp-Exp2'!E119/$Z$100</f>
        <v>0</v>
      </c>
      <c r="AA113" s="370">
        <f>'Imp-Exp2'!F119/$Z$100</f>
        <v>0</v>
      </c>
      <c r="AB113" s="370">
        <f>'Imp-Exp2'!G119/$Z$100</f>
        <v>0</v>
      </c>
      <c r="AC113" s="370">
        <f>'Imp-Exp2'!H119/$Z$100</f>
        <v>0</v>
      </c>
      <c r="AD113" s="370">
        <f>'Imp-Exp2'!I119/$Z$100</f>
        <v>0</v>
      </c>
      <c r="AE113" s="370">
        <f>'Imp-Exp2'!J119/$Z$100</f>
        <v>0</v>
      </c>
      <c r="AF113" s="370">
        <f>'Imp-Exp2'!K119/$Z$100</f>
        <v>0</v>
      </c>
      <c r="AG113" s="370">
        <f>'Imp-Exp2'!L119/$Z$100</f>
        <v>0</v>
      </c>
      <c r="AH113" s="370"/>
    </row>
    <row r="114" spans="1:34" s="302" customFormat="1" x14ac:dyDescent="0.3">
      <c r="A114" s="320"/>
      <c r="B114" s="305">
        <f>Intro!$E$69</f>
        <v>0</v>
      </c>
      <c r="C114" s="305">
        <f t="shared" si="11"/>
        <v>0</v>
      </c>
      <c r="D114" s="305" t="str">
        <f t="shared" ref="D114" si="21">D113</f>
        <v>2 - Importer</v>
      </c>
      <c r="E114" s="476"/>
      <c r="F114" s="476"/>
      <c r="G114" s="476"/>
      <c r="H114" s="321" t="s">
        <v>685</v>
      </c>
      <c r="I114" s="321" t="s">
        <v>650</v>
      </c>
      <c r="J114" s="321" t="s">
        <v>651</v>
      </c>
      <c r="K114" s="321" t="s">
        <v>621</v>
      </c>
      <c r="L114" s="321"/>
      <c r="M114" s="305" t="s">
        <v>652</v>
      </c>
      <c r="N114" s="302" t="s">
        <v>45</v>
      </c>
      <c r="O114" s="322" t="str">
        <f>O108</f>
        <v xml:space="preserve">Account 1 - </v>
      </c>
      <c r="P114" s="321"/>
      <c r="Q114" s="308" t="str">
        <f t="shared" si="15"/>
        <v>Imp-Sls</v>
      </c>
      <c r="R114" s="302">
        <f>'Imp-Exp3'!E98</f>
        <v>0</v>
      </c>
      <c r="S114" s="302">
        <f>'Imp-Exp3'!F98</f>
        <v>0</v>
      </c>
      <c r="T114" s="302">
        <f>'Imp-Exp3'!G98</f>
        <v>0</v>
      </c>
      <c r="U114" s="302">
        <f>'Imp-Exp3'!H98</f>
        <v>0</v>
      </c>
      <c r="V114" s="302">
        <f>'Imp-Exp3'!I98</f>
        <v>0</v>
      </c>
      <c r="W114" s="302">
        <f>'Imp-Exp3'!J98</f>
        <v>0</v>
      </c>
      <c r="X114" s="302">
        <f>'Imp-Exp3'!K98</f>
        <v>0</v>
      </c>
      <c r="Y114" s="302">
        <f>'Imp-Exp3'!L98</f>
        <v>0</v>
      </c>
      <c r="Z114" s="418">
        <f>'Imp-Exp3'!E99/$Z$100</f>
        <v>0</v>
      </c>
      <c r="AA114" s="368">
        <f>'Imp-Exp3'!F99/$Z$100</f>
        <v>0</v>
      </c>
      <c r="AB114" s="368">
        <f>'Imp-Exp3'!G99/$Z$100</f>
        <v>0</v>
      </c>
      <c r="AC114" s="368">
        <f>'Imp-Exp3'!H99/$Z$100</f>
        <v>0</v>
      </c>
      <c r="AD114" s="368">
        <f>'Imp-Exp3'!I99/$Z$100</f>
        <v>0</v>
      </c>
      <c r="AE114" s="368">
        <f>'Imp-Exp3'!J99/$Z$100</f>
        <v>0</v>
      </c>
      <c r="AF114" s="368">
        <f>'Imp-Exp3'!K99/$Z$100</f>
        <v>0</v>
      </c>
      <c r="AG114" s="368">
        <f>'Imp-Exp3'!L99/$Z$100</f>
        <v>0</v>
      </c>
      <c r="AH114" s="368"/>
    </row>
    <row r="115" spans="1:34" x14ac:dyDescent="0.3">
      <c r="A115" s="323"/>
      <c r="B115" s="307">
        <f>Intro!$E$69</f>
        <v>0</v>
      </c>
      <c r="C115" s="305">
        <f t="shared" si="11"/>
        <v>0</v>
      </c>
      <c r="D115" s="312" t="str">
        <f t="shared" si="12"/>
        <v>2 - Importer</v>
      </c>
      <c r="E115" s="477"/>
      <c r="F115" s="477"/>
      <c r="G115" s="477"/>
      <c r="H115" s="312" t="str">
        <f>H114</f>
        <v>D - Vendor 3</v>
      </c>
      <c r="I115" s="312" t="s">
        <v>650</v>
      </c>
      <c r="J115" s="312" t="s">
        <v>651</v>
      </c>
      <c r="K115" s="312" t="s">
        <v>621</v>
      </c>
      <c r="L115" s="312"/>
      <c r="M115" s="307" t="s">
        <v>652</v>
      </c>
      <c r="N115" s="362" t="s">
        <v>47</v>
      </c>
      <c r="O115" s="313" t="str">
        <f t="shared" ref="O115:O119" si="22">O109</f>
        <v xml:space="preserve">Account 2 - </v>
      </c>
      <c r="P115" s="312"/>
      <c r="Q115" s="311" t="str">
        <f t="shared" si="15"/>
        <v>Imp-Sls</v>
      </c>
      <c r="R115">
        <f>'Imp-Exp3'!E102</f>
        <v>0</v>
      </c>
      <c r="S115">
        <f>'Imp-Exp3'!F102</f>
        <v>0</v>
      </c>
      <c r="T115">
        <f>'Imp-Exp3'!G102</f>
        <v>0</v>
      </c>
      <c r="U115">
        <f>'Imp-Exp3'!H102</f>
        <v>0</v>
      </c>
      <c r="V115">
        <f>'Imp-Exp3'!I102</f>
        <v>0</v>
      </c>
      <c r="W115">
        <f>'Imp-Exp3'!J102</f>
        <v>0</v>
      </c>
      <c r="X115">
        <f>'Imp-Exp3'!K102</f>
        <v>0</v>
      </c>
      <c r="Y115">
        <f>'Imp-Exp3'!L102</f>
        <v>0</v>
      </c>
      <c r="Z115" s="419">
        <f>'Imp-Exp3'!E103/$Z$100</f>
        <v>0</v>
      </c>
      <c r="AA115" s="370">
        <f>'Imp-Exp3'!F103/$Z$100</f>
        <v>0</v>
      </c>
      <c r="AB115" s="370">
        <f>'Imp-Exp3'!G103/$Z$100</f>
        <v>0</v>
      </c>
      <c r="AC115" s="370">
        <f>'Imp-Exp3'!H103/$Z$100</f>
        <v>0</v>
      </c>
      <c r="AD115" s="370">
        <f>'Imp-Exp3'!I103/$Z$100</f>
        <v>0</v>
      </c>
      <c r="AE115" s="370">
        <f>'Imp-Exp3'!J103/$Z$100</f>
        <v>0</v>
      </c>
      <c r="AF115" s="370">
        <f>'Imp-Exp3'!K103/$Z$100</f>
        <v>0</v>
      </c>
      <c r="AG115" s="370">
        <f>'Imp-Exp3'!L103/$Z$100</f>
        <v>0</v>
      </c>
      <c r="AH115" s="370"/>
    </row>
    <row r="116" spans="1:34" x14ac:dyDescent="0.3">
      <c r="A116" s="323"/>
      <c r="B116" s="307">
        <f>Intro!$E$69</f>
        <v>0</v>
      </c>
      <c r="C116" s="305">
        <f t="shared" si="11"/>
        <v>0</v>
      </c>
      <c r="D116" s="312" t="str">
        <f t="shared" si="12"/>
        <v>2 - Importer</v>
      </c>
      <c r="E116" s="477"/>
      <c r="F116" s="477"/>
      <c r="G116" s="477"/>
      <c r="H116" s="312" t="str">
        <f t="shared" ref="H116:H117" si="23">H115</f>
        <v>D - Vendor 3</v>
      </c>
      <c r="I116" s="312" t="s">
        <v>650</v>
      </c>
      <c r="J116" s="312" t="s">
        <v>651</v>
      </c>
      <c r="K116" s="312" t="s">
        <v>621</v>
      </c>
      <c r="L116" s="312"/>
      <c r="M116" s="307" t="s">
        <v>652</v>
      </c>
      <c r="N116" s="362" t="s">
        <v>49</v>
      </c>
      <c r="O116" s="313" t="str">
        <f t="shared" si="22"/>
        <v xml:space="preserve">Account 3 - </v>
      </c>
      <c r="P116" s="312"/>
      <c r="Q116" s="311" t="str">
        <f t="shared" si="15"/>
        <v>Imp-Sls</v>
      </c>
      <c r="R116">
        <f>'Imp-Exp3'!E106</f>
        <v>0</v>
      </c>
      <c r="S116">
        <f>'Imp-Exp3'!F106</f>
        <v>0</v>
      </c>
      <c r="T116">
        <f>'Imp-Exp3'!G106</f>
        <v>0</v>
      </c>
      <c r="U116">
        <f>'Imp-Exp3'!H106</f>
        <v>0</v>
      </c>
      <c r="V116">
        <f>'Imp-Exp3'!I106</f>
        <v>0</v>
      </c>
      <c r="W116">
        <f>'Imp-Exp3'!J106</f>
        <v>0</v>
      </c>
      <c r="X116">
        <f>'Imp-Exp3'!K106</f>
        <v>0</v>
      </c>
      <c r="Y116">
        <f>'Imp-Exp3'!L106</f>
        <v>0</v>
      </c>
      <c r="Z116" s="419">
        <f>'Imp-Exp3'!E107/$Z$100</f>
        <v>0</v>
      </c>
      <c r="AA116" s="370">
        <f>'Imp-Exp3'!F107/$Z$100</f>
        <v>0</v>
      </c>
      <c r="AB116" s="370">
        <f>'Imp-Exp3'!G107/$Z$100</f>
        <v>0</v>
      </c>
      <c r="AC116" s="370">
        <f>'Imp-Exp3'!H107/$Z$100</f>
        <v>0</v>
      </c>
      <c r="AD116" s="370">
        <f>'Imp-Exp3'!I107/$Z$100</f>
        <v>0</v>
      </c>
      <c r="AE116" s="370">
        <f>'Imp-Exp3'!J107/$Z$100</f>
        <v>0</v>
      </c>
      <c r="AF116" s="370">
        <f>'Imp-Exp3'!K107/$Z$100</f>
        <v>0</v>
      </c>
      <c r="AG116" s="370">
        <f>'Imp-Exp3'!L107/$Z$100</f>
        <v>0</v>
      </c>
      <c r="AH116" s="370"/>
    </row>
    <row r="117" spans="1:34" x14ac:dyDescent="0.3">
      <c r="A117" s="323"/>
      <c r="B117" s="307">
        <f>Intro!$E$69</f>
        <v>0</v>
      </c>
      <c r="C117" s="305">
        <f t="shared" si="11"/>
        <v>0</v>
      </c>
      <c r="D117" s="312" t="str">
        <f t="shared" si="12"/>
        <v>2 - Importer</v>
      </c>
      <c r="E117" s="477"/>
      <c r="F117" s="477"/>
      <c r="G117" s="477"/>
      <c r="H117" s="312" t="str">
        <f t="shared" si="23"/>
        <v>D - Vendor 3</v>
      </c>
      <c r="I117" s="312" t="s">
        <v>650</v>
      </c>
      <c r="J117" s="312" t="s">
        <v>651</v>
      </c>
      <c r="K117" s="312" t="s">
        <v>621</v>
      </c>
      <c r="L117" s="312"/>
      <c r="M117" s="307" t="s">
        <v>652</v>
      </c>
      <c r="N117" s="362" t="s">
        <v>51</v>
      </c>
      <c r="O117" s="313" t="str">
        <f t="shared" si="22"/>
        <v xml:space="preserve">Account 4 - </v>
      </c>
      <c r="P117" s="312"/>
      <c r="Q117" s="311" t="str">
        <f t="shared" si="15"/>
        <v>Imp-Sls</v>
      </c>
      <c r="R117">
        <f>'Imp-Exp3'!E110</f>
        <v>0</v>
      </c>
      <c r="S117">
        <f>'Imp-Exp3'!F110</f>
        <v>0</v>
      </c>
      <c r="T117">
        <f>'Imp-Exp3'!G110</f>
        <v>0</v>
      </c>
      <c r="U117">
        <f>'Imp-Exp3'!H110</f>
        <v>0</v>
      </c>
      <c r="V117">
        <f>'Imp-Exp3'!I110</f>
        <v>0</v>
      </c>
      <c r="W117">
        <f>'Imp-Exp3'!J110</f>
        <v>0</v>
      </c>
      <c r="X117">
        <f>'Imp-Exp3'!K110</f>
        <v>0</v>
      </c>
      <c r="Y117">
        <f>'Imp-Exp3'!L110</f>
        <v>0</v>
      </c>
      <c r="Z117" s="419">
        <f>'Imp-Exp3'!E111/$Z$100</f>
        <v>0</v>
      </c>
      <c r="AA117" s="370">
        <f>'Imp-Exp3'!F111/$Z$100</f>
        <v>0</v>
      </c>
      <c r="AB117" s="370">
        <f>'Imp-Exp3'!G111/$Z$100</f>
        <v>0</v>
      </c>
      <c r="AC117" s="370">
        <f>'Imp-Exp3'!H111/$Z$100</f>
        <v>0</v>
      </c>
      <c r="AD117" s="370">
        <f>'Imp-Exp3'!I111/$Z$100</f>
        <v>0</v>
      </c>
      <c r="AE117" s="370">
        <f>'Imp-Exp3'!J111/$Z$100</f>
        <v>0</v>
      </c>
      <c r="AF117" s="370">
        <f>'Imp-Exp3'!K111/$Z$100</f>
        <v>0</v>
      </c>
      <c r="AG117" s="370">
        <f>'Imp-Exp3'!L111/$Z$100</f>
        <v>0</v>
      </c>
      <c r="AH117" s="370"/>
    </row>
    <row r="118" spans="1:34" x14ac:dyDescent="0.3">
      <c r="A118" s="323"/>
      <c r="B118" s="307">
        <f>Intro!$E$69</f>
        <v>0</v>
      </c>
      <c r="C118" s="305">
        <f t="shared" si="11"/>
        <v>0</v>
      </c>
      <c r="D118" s="312" t="str">
        <f t="shared" si="12"/>
        <v>2 - Importer</v>
      </c>
      <c r="E118" s="477"/>
      <c r="F118" s="477"/>
      <c r="G118" s="477"/>
      <c r="H118" s="312" t="s">
        <v>685</v>
      </c>
      <c r="I118" s="312" t="s">
        <v>650</v>
      </c>
      <c r="J118" s="312" t="s">
        <v>651</v>
      </c>
      <c r="K118" s="312" t="s">
        <v>621</v>
      </c>
      <c r="L118" s="312"/>
      <c r="M118" s="307" t="s">
        <v>652</v>
      </c>
      <c r="N118" s="362" t="s">
        <v>53</v>
      </c>
      <c r="O118" s="313" t="str">
        <f t="shared" si="22"/>
        <v xml:space="preserve">Account 5 - </v>
      </c>
      <c r="P118" s="312"/>
      <c r="Q118" s="311" t="str">
        <f t="shared" si="15"/>
        <v>Imp-Sls</v>
      </c>
      <c r="R118">
        <f>'Imp-Exp3'!E114</f>
        <v>0</v>
      </c>
      <c r="S118">
        <f>'Imp-Exp3'!F114</f>
        <v>0</v>
      </c>
      <c r="T118">
        <f>'Imp-Exp3'!G114</f>
        <v>0</v>
      </c>
      <c r="U118">
        <f>'Imp-Exp3'!H114</f>
        <v>0</v>
      </c>
      <c r="V118">
        <f>'Imp-Exp3'!I114</f>
        <v>0</v>
      </c>
      <c r="W118">
        <f>'Imp-Exp3'!J114</f>
        <v>0</v>
      </c>
      <c r="X118">
        <f>'Imp-Exp3'!K114</f>
        <v>0</v>
      </c>
      <c r="Y118">
        <f>'Imp-Exp3'!L114</f>
        <v>0</v>
      </c>
      <c r="Z118" s="419">
        <f>'Imp-Exp3'!E115/$Z$100</f>
        <v>0</v>
      </c>
      <c r="AA118" s="370">
        <f>'Imp-Exp3'!F115/$Z$100</f>
        <v>0</v>
      </c>
      <c r="AB118" s="370">
        <f>'Imp-Exp3'!G115/$Z$100</f>
        <v>0</v>
      </c>
      <c r="AC118" s="370">
        <f>'Imp-Exp3'!H115/$Z$100</f>
        <v>0</v>
      </c>
      <c r="AD118" s="370">
        <f>'Imp-Exp3'!I115/$Z$100</f>
        <v>0</v>
      </c>
      <c r="AE118" s="370">
        <f>'Imp-Exp3'!J115/$Z$100</f>
        <v>0</v>
      </c>
      <c r="AF118" s="370">
        <f>'Imp-Exp3'!K115/$Z$100</f>
        <v>0</v>
      </c>
      <c r="AG118" s="370">
        <f>'Imp-Exp3'!L115/$Z$100</f>
        <v>0</v>
      </c>
      <c r="AH118" s="370"/>
    </row>
    <row r="119" spans="1:34" x14ac:dyDescent="0.3">
      <c r="A119" s="323"/>
      <c r="B119" s="307">
        <f>Intro!$E$69</f>
        <v>0</v>
      </c>
      <c r="C119" s="305">
        <f t="shared" si="11"/>
        <v>0</v>
      </c>
      <c r="D119" s="312" t="str">
        <f t="shared" si="12"/>
        <v>2 - Importer</v>
      </c>
      <c r="E119" s="477"/>
      <c r="F119" s="477"/>
      <c r="G119" s="477"/>
      <c r="H119" s="312" t="s">
        <v>780</v>
      </c>
      <c r="I119" s="312" t="s">
        <v>650</v>
      </c>
      <c r="J119" s="312" t="s">
        <v>651</v>
      </c>
      <c r="K119" s="312" t="s">
        <v>621</v>
      </c>
      <c r="L119" s="312"/>
      <c r="M119" s="307" t="s">
        <v>652</v>
      </c>
      <c r="N119" s="362" t="s">
        <v>605</v>
      </c>
      <c r="O119" s="313" t="str">
        <f t="shared" si="22"/>
        <v xml:space="preserve">Account 6 - </v>
      </c>
      <c r="P119" s="312"/>
      <c r="Q119" s="311" t="str">
        <f t="shared" si="15"/>
        <v>Imp-Sls</v>
      </c>
      <c r="R119">
        <f>'Imp-Exp3'!E118</f>
        <v>0</v>
      </c>
      <c r="S119">
        <f>'Imp-Exp3'!F118</f>
        <v>0</v>
      </c>
      <c r="T119">
        <f>'Imp-Exp3'!G118</f>
        <v>0</v>
      </c>
      <c r="U119">
        <f>'Imp-Exp3'!H118</f>
        <v>0</v>
      </c>
      <c r="V119">
        <f>'Imp-Exp3'!I118</f>
        <v>0</v>
      </c>
      <c r="W119">
        <f>'Imp-Exp3'!J118</f>
        <v>0</v>
      </c>
      <c r="X119">
        <f>'Imp-Exp3'!K118</f>
        <v>0</v>
      </c>
      <c r="Y119">
        <f>'Imp-Exp3'!L118</f>
        <v>0</v>
      </c>
      <c r="Z119" s="419">
        <f>'Imp-Exp3'!E119/$Z$100</f>
        <v>0</v>
      </c>
      <c r="AA119" s="370">
        <f>'Imp-Exp3'!F119/$Z$100</f>
        <v>0</v>
      </c>
      <c r="AB119" s="370">
        <f>'Imp-Exp3'!G119/$Z$100</f>
        <v>0</v>
      </c>
      <c r="AC119" s="370">
        <f>'Imp-Exp3'!H119/$Z$100</f>
        <v>0</v>
      </c>
      <c r="AD119" s="370">
        <f>'Imp-Exp3'!I119/$Z$100</f>
        <v>0</v>
      </c>
      <c r="AE119" s="370">
        <f>'Imp-Exp3'!J119/$Z$100</f>
        <v>0</v>
      </c>
      <c r="AF119" s="370">
        <f>'Imp-Exp3'!K119/$Z$100</f>
        <v>0</v>
      </c>
      <c r="AG119" s="370">
        <f>'Imp-Exp3'!L119/$Z$100</f>
        <v>0</v>
      </c>
      <c r="AH119" s="370"/>
    </row>
    <row r="120" spans="1:34" s="302" customFormat="1" x14ac:dyDescent="0.3">
      <c r="B120" s="305">
        <f>Intro!$E$69</f>
        <v>0</v>
      </c>
      <c r="C120" s="305">
        <f t="shared" si="11"/>
        <v>0</v>
      </c>
      <c r="D120" s="305" t="s">
        <v>648</v>
      </c>
      <c r="E120" s="476"/>
      <c r="F120" s="476"/>
      <c r="G120" s="476"/>
      <c r="H120" s="305" t="s">
        <v>655</v>
      </c>
      <c r="I120" s="305" t="s">
        <v>656</v>
      </c>
      <c r="J120" s="305" t="s">
        <v>657</v>
      </c>
      <c r="K120" s="305" t="s">
        <v>658</v>
      </c>
      <c r="L120" s="305"/>
      <c r="M120" s="305" t="s">
        <v>659</v>
      </c>
      <c r="N120" s="302" t="s">
        <v>45</v>
      </c>
      <c r="O120" s="306" t="str">
        <f>O114</f>
        <v xml:space="preserve">Account 1 - </v>
      </c>
      <c r="P120" s="305"/>
      <c r="Q120" s="308" t="str">
        <f t="shared" si="15"/>
        <v>Imp-Sls</v>
      </c>
      <c r="R120" s="302">
        <f>'Imp-US'!E98</f>
        <v>0</v>
      </c>
      <c r="S120" s="302">
        <f>'Imp-US'!F98</f>
        <v>0</v>
      </c>
      <c r="T120" s="302">
        <f>'Imp-US'!G98</f>
        <v>0</v>
      </c>
      <c r="U120" s="302">
        <f>'Imp-US'!H98</f>
        <v>0</v>
      </c>
      <c r="V120" s="302">
        <f>'Imp-US'!I98</f>
        <v>0</v>
      </c>
      <c r="W120" s="302">
        <f>'Imp-US'!J98</f>
        <v>0</v>
      </c>
      <c r="X120" s="302">
        <f>'Imp-US'!K98</f>
        <v>0</v>
      </c>
      <c r="Y120" s="302">
        <f>'Imp-US'!L98</f>
        <v>0</v>
      </c>
      <c r="Z120" s="418">
        <f>'Imp-US'!E99/$Z$100</f>
        <v>0</v>
      </c>
      <c r="AA120" s="368">
        <f>'Imp-US'!F99/$Z$100</f>
        <v>0</v>
      </c>
      <c r="AB120" s="368">
        <f>'Imp-US'!G99/$Z$100</f>
        <v>0</v>
      </c>
      <c r="AC120" s="368">
        <f>'Imp-US'!H99/$Z$100</f>
        <v>0</v>
      </c>
      <c r="AD120" s="368">
        <f>'Imp-US'!I99/$Z$100</f>
        <v>0</v>
      </c>
      <c r="AE120" s="368">
        <f>'Imp-US'!J99/$Z$100</f>
        <v>0</v>
      </c>
      <c r="AF120" s="368">
        <f>'Imp-US'!K99/$Z$100</f>
        <v>0</v>
      </c>
      <c r="AG120" s="368">
        <f>'Imp-US'!L99/$Z$100</f>
        <v>0</v>
      </c>
      <c r="AH120" s="368"/>
    </row>
    <row r="121" spans="1:34" x14ac:dyDescent="0.3">
      <c r="B121" s="307">
        <f>Intro!$E$69</f>
        <v>0</v>
      </c>
      <c r="C121" s="305">
        <f t="shared" si="11"/>
        <v>0</v>
      </c>
      <c r="D121" s="307" t="str">
        <f>D120</f>
        <v>2 - Importer</v>
      </c>
      <c r="E121" s="477"/>
      <c r="F121" s="477"/>
      <c r="G121" s="477"/>
      <c r="H121" s="307" t="str">
        <f>H120</f>
        <v>zUS</v>
      </c>
      <c r="I121" s="307" t="s">
        <v>656</v>
      </c>
      <c r="J121" s="307" t="s">
        <v>657</v>
      </c>
      <c r="K121" s="307" t="s">
        <v>658</v>
      </c>
      <c r="L121" s="307"/>
      <c r="M121" s="307" t="s">
        <v>659</v>
      </c>
      <c r="N121" s="362" t="s">
        <v>47</v>
      </c>
      <c r="O121" s="310" t="str">
        <f t="shared" ref="O121:O125" si="24">O115</f>
        <v xml:space="preserve">Account 2 - </v>
      </c>
      <c r="P121" s="307"/>
      <c r="Q121" s="311" t="str">
        <f t="shared" si="15"/>
        <v>Imp-Sls</v>
      </c>
      <c r="R121">
        <f>'Imp-US'!E102</f>
        <v>0</v>
      </c>
      <c r="S121">
        <f>'Imp-US'!F102</f>
        <v>0</v>
      </c>
      <c r="T121">
        <f>'Imp-US'!G102</f>
        <v>0</v>
      </c>
      <c r="U121">
        <f>'Imp-US'!H102</f>
        <v>0</v>
      </c>
      <c r="V121">
        <f>'Imp-US'!I102</f>
        <v>0</v>
      </c>
      <c r="W121">
        <f>'Imp-US'!J102</f>
        <v>0</v>
      </c>
      <c r="X121">
        <f>'Imp-US'!K102</f>
        <v>0</v>
      </c>
      <c r="Y121">
        <f>'Imp-US'!L102</f>
        <v>0</v>
      </c>
      <c r="Z121" s="419">
        <f>'Imp-US'!E103/$Z$100</f>
        <v>0</v>
      </c>
      <c r="AA121" s="370">
        <f>'Imp-US'!F103/$Z$100</f>
        <v>0</v>
      </c>
      <c r="AB121" s="370">
        <f>'Imp-US'!G103/$Z$100</f>
        <v>0</v>
      </c>
      <c r="AC121" s="370">
        <f>'Imp-US'!H103/$Z$100</f>
        <v>0</v>
      </c>
      <c r="AD121" s="370">
        <f>'Imp-US'!I103/$Z$100</f>
        <v>0</v>
      </c>
      <c r="AE121" s="370">
        <f>'Imp-US'!J103/$Z$100</f>
        <v>0</v>
      </c>
      <c r="AF121" s="370">
        <f>'Imp-US'!K103/$Z$100</f>
        <v>0</v>
      </c>
      <c r="AG121" s="370">
        <f>'Imp-US'!L103/$Z$100</f>
        <v>0</v>
      </c>
      <c r="AH121" s="370"/>
    </row>
    <row r="122" spans="1:34" x14ac:dyDescent="0.3">
      <c r="B122" s="307">
        <f>Intro!$E$69</f>
        <v>0</v>
      </c>
      <c r="C122" s="305">
        <f t="shared" si="11"/>
        <v>0</v>
      </c>
      <c r="D122" s="307" t="str">
        <f t="shared" ref="D122:D125" si="25">D121</f>
        <v>2 - Importer</v>
      </c>
      <c r="E122" s="477"/>
      <c r="F122" s="477"/>
      <c r="G122" s="477"/>
      <c r="H122" s="307" t="str">
        <f t="shared" ref="H122:H125" si="26">H121</f>
        <v>zUS</v>
      </c>
      <c r="I122" s="307" t="s">
        <v>656</v>
      </c>
      <c r="J122" s="307" t="s">
        <v>657</v>
      </c>
      <c r="K122" s="307" t="s">
        <v>658</v>
      </c>
      <c r="L122" s="307"/>
      <c r="M122" s="307" t="s">
        <v>659</v>
      </c>
      <c r="N122" s="362" t="s">
        <v>49</v>
      </c>
      <c r="O122" s="310" t="str">
        <f t="shared" si="24"/>
        <v xml:space="preserve">Account 3 - </v>
      </c>
      <c r="P122" s="307"/>
      <c r="Q122" s="311" t="str">
        <f t="shared" si="15"/>
        <v>Imp-Sls</v>
      </c>
      <c r="R122">
        <f>'Imp-US'!E106</f>
        <v>0</v>
      </c>
      <c r="S122">
        <f>'Imp-US'!F106</f>
        <v>0</v>
      </c>
      <c r="T122">
        <f>'Imp-US'!G106</f>
        <v>0</v>
      </c>
      <c r="U122">
        <f>'Imp-US'!H106</f>
        <v>0</v>
      </c>
      <c r="V122">
        <f>'Imp-US'!I106</f>
        <v>0</v>
      </c>
      <c r="W122">
        <f>'Imp-US'!J106</f>
        <v>0</v>
      </c>
      <c r="X122">
        <f>'Imp-US'!K106</f>
        <v>0</v>
      </c>
      <c r="Y122">
        <f>'Imp-US'!L106</f>
        <v>0</v>
      </c>
      <c r="Z122" s="419">
        <f>'Imp-US'!E107/$Z$100</f>
        <v>0</v>
      </c>
      <c r="AA122" s="370">
        <f>'Imp-US'!F107/$Z$100</f>
        <v>0</v>
      </c>
      <c r="AB122" s="370">
        <f>'Imp-US'!G107/$Z$100</f>
        <v>0</v>
      </c>
      <c r="AC122" s="370">
        <f>'Imp-US'!H107/$Z$100</f>
        <v>0</v>
      </c>
      <c r="AD122" s="370">
        <f>'Imp-US'!I107/$Z$100</f>
        <v>0</v>
      </c>
      <c r="AE122" s="370">
        <f>'Imp-US'!J107/$Z$100</f>
        <v>0</v>
      </c>
      <c r="AF122" s="370">
        <f>'Imp-US'!K107/$Z$100</f>
        <v>0</v>
      </c>
      <c r="AG122" s="370">
        <f>'Imp-US'!L107/$Z$100</f>
        <v>0</v>
      </c>
      <c r="AH122" s="370"/>
    </row>
    <row r="123" spans="1:34" x14ac:dyDescent="0.3">
      <c r="B123" s="307">
        <f>Intro!$E$69</f>
        <v>0</v>
      </c>
      <c r="C123" s="305">
        <f t="shared" si="11"/>
        <v>0</v>
      </c>
      <c r="D123" s="307" t="str">
        <f t="shared" si="25"/>
        <v>2 - Importer</v>
      </c>
      <c r="E123" s="477"/>
      <c r="F123" s="477"/>
      <c r="G123" s="477"/>
      <c r="H123" s="307" t="str">
        <f t="shared" si="26"/>
        <v>zUS</v>
      </c>
      <c r="I123" s="307" t="s">
        <v>656</v>
      </c>
      <c r="J123" s="307" t="s">
        <v>657</v>
      </c>
      <c r="K123" s="307" t="s">
        <v>658</v>
      </c>
      <c r="L123" s="307"/>
      <c r="M123" s="307" t="s">
        <v>659</v>
      </c>
      <c r="N123" s="362" t="s">
        <v>51</v>
      </c>
      <c r="O123" s="310" t="str">
        <f t="shared" si="24"/>
        <v xml:space="preserve">Account 4 - </v>
      </c>
      <c r="P123" s="307"/>
      <c r="Q123" s="311" t="str">
        <f t="shared" si="15"/>
        <v>Imp-Sls</v>
      </c>
      <c r="R123">
        <f>'Imp-US'!E110</f>
        <v>0</v>
      </c>
      <c r="S123">
        <f>'Imp-US'!F110</f>
        <v>0</v>
      </c>
      <c r="T123">
        <f>'Imp-US'!G110</f>
        <v>0</v>
      </c>
      <c r="U123">
        <f>'Imp-US'!H110</f>
        <v>0</v>
      </c>
      <c r="V123">
        <f>'Imp-US'!I110</f>
        <v>0</v>
      </c>
      <c r="W123">
        <f>'Imp-US'!J110</f>
        <v>0</v>
      </c>
      <c r="X123">
        <f>'Imp-US'!K110</f>
        <v>0</v>
      </c>
      <c r="Y123">
        <f>'Imp-US'!L110</f>
        <v>0</v>
      </c>
      <c r="Z123" s="419">
        <f>'Imp-US'!E111/$Z$100</f>
        <v>0</v>
      </c>
      <c r="AA123" s="370">
        <f>'Imp-US'!F111/$Z$100</f>
        <v>0</v>
      </c>
      <c r="AB123" s="370">
        <f>'Imp-US'!G111/$Z$100</f>
        <v>0</v>
      </c>
      <c r="AC123" s="370">
        <f>'Imp-US'!H111/$Z$100</f>
        <v>0</v>
      </c>
      <c r="AD123" s="370">
        <f>'Imp-US'!I111/$Z$100</f>
        <v>0</v>
      </c>
      <c r="AE123" s="370">
        <f>'Imp-US'!J111/$Z$100</f>
        <v>0</v>
      </c>
      <c r="AF123" s="370">
        <f>'Imp-US'!K111/$Z$100</f>
        <v>0</v>
      </c>
      <c r="AG123" s="370">
        <f>'Imp-US'!L111/$Z$100</f>
        <v>0</v>
      </c>
      <c r="AH123" s="370"/>
    </row>
    <row r="124" spans="1:34" x14ac:dyDescent="0.3">
      <c r="B124" s="307">
        <f>Intro!$E$69</f>
        <v>0</v>
      </c>
      <c r="C124" s="305">
        <f t="shared" si="11"/>
        <v>0</v>
      </c>
      <c r="D124" s="307" t="str">
        <f t="shared" si="25"/>
        <v>2 - Importer</v>
      </c>
      <c r="E124" s="477"/>
      <c r="F124" s="477"/>
      <c r="G124" s="477"/>
      <c r="H124" s="307" t="str">
        <f t="shared" si="26"/>
        <v>zUS</v>
      </c>
      <c r="I124" s="307" t="s">
        <v>656</v>
      </c>
      <c r="J124" s="307" t="s">
        <v>657</v>
      </c>
      <c r="K124" s="307" t="s">
        <v>658</v>
      </c>
      <c r="L124" s="307"/>
      <c r="M124" s="307" t="s">
        <v>659</v>
      </c>
      <c r="N124" s="362" t="s">
        <v>53</v>
      </c>
      <c r="O124" s="310" t="str">
        <f t="shared" si="24"/>
        <v xml:space="preserve">Account 5 - </v>
      </c>
      <c r="P124" s="307"/>
      <c r="Q124" s="311" t="str">
        <f t="shared" si="15"/>
        <v>Imp-Sls</v>
      </c>
      <c r="R124">
        <f>'Imp-US'!E114</f>
        <v>0</v>
      </c>
      <c r="S124">
        <f>'Imp-US'!F114</f>
        <v>0</v>
      </c>
      <c r="T124">
        <f>'Imp-US'!G114</f>
        <v>0</v>
      </c>
      <c r="U124">
        <f>'Imp-US'!H114</f>
        <v>0</v>
      </c>
      <c r="V124">
        <f>'Imp-US'!I114</f>
        <v>0</v>
      </c>
      <c r="W124">
        <f>'Imp-US'!J114</f>
        <v>0</v>
      </c>
      <c r="X124">
        <f>'Imp-US'!K114</f>
        <v>0</v>
      </c>
      <c r="Y124">
        <f>'Imp-US'!L114</f>
        <v>0</v>
      </c>
      <c r="Z124" s="419">
        <f>'Imp-US'!E115/$Z$100</f>
        <v>0</v>
      </c>
      <c r="AA124" s="370">
        <f>'Imp-US'!F115/$Z$100</f>
        <v>0</v>
      </c>
      <c r="AB124" s="370">
        <f>'Imp-US'!G115/$Z$100</f>
        <v>0</v>
      </c>
      <c r="AC124" s="370">
        <f>'Imp-US'!H115/$Z$100</f>
        <v>0</v>
      </c>
      <c r="AD124" s="370">
        <f>'Imp-US'!I115/$Z$100</f>
        <v>0</v>
      </c>
      <c r="AE124" s="370">
        <f>'Imp-US'!J115/$Z$100</f>
        <v>0</v>
      </c>
      <c r="AF124" s="370">
        <f>'Imp-US'!K115/$Z$100</f>
        <v>0</v>
      </c>
      <c r="AG124" s="370">
        <f>'Imp-US'!L115/$Z$100</f>
        <v>0</v>
      </c>
      <c r="AH124" s="370"/>
    </row>
    <row r="125" spans="1:34" x14ac:dyDescent="0.3">
      <c r="B125" s="307">
        <f>Intro!$E$69</f>
        <v>0</v>
      </c>
      <c r="C125" s="305">
        <f t="shared" si="11"/>
        <v>0</v>
      </c>
      <c r="D125" s="307" t="str">
        <f t="shared" si="25"/>
        <v>2 - Importer</v>
      </c>
      <c r="E125" s="477"/>
      <c r="F125" s="477"/>
      <c r="G125" s="477"/>
      <c r="H125" s="307" t="str">
        <f t="shared" si="26"/>
        <v>zUS</v>
      </c>
      <c r="I125" s="307" t="s">
        <v>656</v>
      </c>
      <c r="J125" s="307" t="s">
        <v>657</v>
      </c>
      <c r="K125" s="307" t="s">
        <v>658</v>
      </c>
      <c r="L125" s="307"/>
      <c r="M125" s="307"/>
      <c r="N125" s="362" t="s">
        <v>605</v>
      </c>
      <c r="O125" s="310" t="str">
        <f t="shared" si="24"/>
        <v xml:space="preserve">Account 6 - </v>
      </c>
      <c r="P125" s="307"/>
      <c r="Q125" s="311" t="str">
        <f t="shared" si="15"/>
        <v>Imp-Sls</v>
      </c>
      <c r="R125">
        <f>'Imp-US'!E118</f>
        <v>0</v>
      </c>
      <c r="S125">
        <f>'Imp-US'!F118</f>
        <v>0</v>
      </c>
      <c r="T125">
        <f>'Imp-US'!G118</f>
        <v>0</v>
      </c>
      <c r="U125">
        <f>'Imp-US'!H118</f>
        <v>0</v>
      </c>
      <c r="V125">
        <f>'Imp-US'!I118</f>
        <v>0</v>
      </c>
      <c r="W125">
        <f>'Imp-US'!J118</f>
        <v>0</v>
      </c>
      <c r="X125">
        <f>'Imp-US'!K118</f>
        <v>0</v>
      </c>
      <c r="Y125">
        <f>'Imp-US'!L118</f>
        <v>0</v>
      </c>
      <c r="Z125" s="419">
        <f>'Imp-US'!E119/$Z$100</f>
        <v>0</v>
      </c>
      <c r="AA125" s="370">
        <f>'Imp-US'!F119/$Z$100</f>
        <v>0</v>
      </c>
      <c r="AB125" s="370">
        <f>'Imp-US'!G119/$Z$100</f>
        <v>0</v>
      </c>
      <c r="AC125" s="370">
        <f>'Imp-US'!H119/$Z$100</f>
        <v>0</v>
      </c>
      <c r="AD125" s="370">
        <f>'Imp-US'!I119/$Z$100</f>
        <v>0</v>
      </c>
      <c r="AE125" s="370">
        <f>'Imp-US'!J119/$Z$100</f>
        <v>0</v>
      </c>
      <c r="AF125" s="370">
        <f>'Imp-US'!K119/$Z$100</f>
        <v>0</v>
      </c>
      <c r="AG125" s="370">
        <f>'Imp-US'!L119/$Z$100</f>
        <v>0</v>
      </c>
      <c r="AH125" s="370"/>
    </row>
    <row r="126" spans="1:34" s="302" customFormat="1" x14ac:dyDescent="0.3">
      <c r="B126" s="305">
        <f>Intro!$E$69</f>
        <v>0</v>
      </c>
      <c r="C126" s="305">
        <f t="shared" si="11"/>
        <v>0</v>
      </c>
      <c r="D126" s="305" t="s">
        <v>648</v>
      </c>
      <c r="E126" s="476"/>
      <c r="F126" s="476"/>
      <c r="G126" s="476"/>
      <c r="H126" s="393" t="s">
        <v>768</v>
      </c>
      <c r="I126" s="305" t="s">
        <v>656</v>
      </c>
      <c r="J126" s="305" t="s">
        <v>686</v>
      </c>
      <c r="K126" s="305" t="s">
        <v>626</v>
      </c>
      <c r="L126" s="305">
        <f>'Imp-Other-Autre'!$D$23</f>
        <v>0</v>
      </c>
      <c r="M126" s="305" t="s">
        <v>659</v>
      </c>
      <c r="N126" s="302" t="s">
        <v>45</v>
      </c>
      <c r="O126" s="306" t="str">
        <f>O120</f>
        <v xml:space="preserve">Account 1 - </v>
      </c>
      <c r="P126" s="305"/>
      <c r="Q126" s="308" t="str">
        <f t="shared" si="15"/>
        <v>Imp-Sls</v>
      </c>
      <c r="R126" s="302">
        <f>'Imp-Other-Autre'!E98</f>
        <v>0</v>
      </c>
      <c r="S126" s="302">
        <f>'Imp-Other-Autre'!F98</f>
        <v>0</v>
      </c>
      <c r="T126" s="302">
        <f>'Imp-Other-Autre'!G98</f>
        <v>0</v>
      </c>
      <c r="U126" s="302">
        <f>'Imp-Other-Autre'!H98</f>
        <v>0</v>
      </c>
      <c r="V126" s="302">
        <f>'Imp-Other-Autre'!I98</f>
        <v>0</v>
      </c>
      <c r="W126" s="302">
        <f>'Imp-Other-Autre'!J98</f>
        <v>0</v>
      </c>
      <c r="X126" s="302">
        <f>'Imp-Other-Autre'!K98</f>
        <v>0</v>
      </c>
      <c r="Y126" s="302">
        <f>'Imp-Other-Autre'!L98</f>
        <v>0</v>
      </c>
      <c r="Z126" s="418">
        <f>'Imp-Other-Autre'!E99/$Z$100</f>
        <v>0</v>
      </c>
      <c r="AA126" s="368">
        <f>'Imp-Other-Autre'!F99/$Z$100</f>
        <v>0</v>
      </c>
      <c r="AB126" s="368">
        <f>'Imp-Other-Autre'!G99/$Z$100</f>
        <v>0</v>
      </c>
      <c r="AC126" s="368">
        <f>'Imp-Other-Autre'!H99/$Z$100</f>
        <v>0</v>
      </c>
      <c r="AD126" s="368">
        <f>'Imp-Other-Autre'!I99/$Z$100</f>
        <v>0</v>
      </c>
      <c r="AE126" s="368">
        <f>'Imp-Other-Autre'!J99/$Z$100</f>
        <v>0</v>
      </c>
      <c r="AF126" s="368">
        <f>'Imp-Other-Autre'!K99/$Z$100</f>
        <v>0</v>
      </c>
      <c r="AG126" s="368">
        <f>'Imp-Other-Autre'!L99/$Z$100</f>
        <v>0</v>
      </c>
      <c r="AH126" s="368"/>
    </row>
    <row r="127" spans="1:34" x14ac:dyDescent="0.3">
      <c r="B127" s="307">
        <f>Intro!$E$69</f>
        <v>0</v>
      </c>
      <c r="C127" s="305">
        <f t="shared" si="11"/>
        <v>0</v>
      </c>
      <c r="D127" s="307" t="str">
        <f>D126</f>
        <v>2 - Importer</v>
      </c>
      <c r="E127" s="477"/>
      <c r="F127" s="477"/>
      <c r="G127" s="477"/>
      <c r="H127" s="307" t="str">
        <f>H126</f>
        <v>zzOther</v>
      </c>
      <c r="I127" s="307" t="s">
        <v>656</v>
      </c>
      <c r="J127" s="307" t="s">
        <v>686</v>
      </c>
      <c r="K127" s="307" t="s">
        <v>626</v>
      </c>
      <c r="L127" s="307">
        <f>'Imp-Other-Autre'!$D$23</f>
        <v>0</v>
      </c>
      <c r="M127" s="307" t="s">
        <v>659</v>
      </c>
      <c r="N127" s="362" t="s">
        <v>47</v>
      </c>
      <c r="O127" s="310" t="str">
        <f t="shared" ref="O127:O131" si="27">O121</f>
        <v xml:space="preserve">Account 2 - </v>
      </c>
      <c r="P127" s="307"/>
      <c r="Q127" s="311" t="str">
        <f t="shared" si="15"/>
        <v>Imp-Sls</v>
      </c>
      <c r="R127">
        <f>'Imp-Other-Autre'!E102</f>
        <v>0</v>
      </c>
      <c r="S127">
        <f>'Imp-Other-Autre'!F102</f>
        <v>0</v>
      </c>
      <c r="T127">
        <f>'Imp-Other-Autre'!G102</f>
        <v>0</v>
      </c>
      <c r="U127">
        <f>'Imp-Other-Autre'!H102</f>
        <v>0</v>
      </c>
      <c r="V127">
        <f>'Imp-Other-Autre'!I102</f>
        <v>0</v>
      </c>
      <c r="W127">
        <f>'Imp-Other-Autre'!J102</f>
        <v>0</v>
      </c>
      <c r="X127">
        <f>'Imp-Other-Autre'!K102</f>
        <v>0</v>
      </c>
      <c r="Y127">
        <f>'Imp-Other-Autre'!L102</f>
        <v>0</v>
      </c>
      <c r="Z127" s="419">
        <f>'Imp-Other-Autre'!E103/$Z$100</f>
        <v>0</v>
      </c>
      <c r="AA127" s="370">
        <f>'Imp-Other-Autre'!F103/$Z$100</f>
        <v>0</v>
      </c>
      <c r="AB127" s="370">
        <f>'Imp-Other-Autre'!G103/$Z$100</f>
        <v>0</v>
      </c>
      <c r="AC127" s="370">
        <f>'Imp-Other-Autre'!H103/$Z$100</f>
        <v>0</v>
      </c>
      <c r="AD127" s="370">
        <f>'Imp-Other-Autre'!I103/$Z$100</f>
        <v>0</v>
      </c>
      <c r="AE127" s="370">
        <f>'Imp-Other-Autre'!J103/$Z$100</f>
        <v>0</v>
      </c>
      <c r="AF127" s="370">
        <f>'Imp-Other-Autre'!K103/$Z$100</f>
        <v>0</v>
      </c>
      <c r="AG127" s="370">
        <f>'Imp-Other-Autre'!L103/$Z$100</f>
        <v>0</v>
      </c>
      <c r="AH127" s="370"/>
    </row>
    <row r="128" spans="1:34" x14ac:dyDescent="0.3">
      <c r="B128" s="307">
        <f>Intro!$E$69</f>
        <v>0</v>
      </c>
      <c r="C128" s="305">
        <f t="shared" si="11"/>
        <v>0</v>
      </c>
      <c r="D128" s="307" t="str">
        <f t="shared" ref="D128:D131" si="28">D127</f>
        <v>2 - Importer</v>
      </c>
      <c r="E128" s="477"/>
      <c r="F128" s="477"/>
      <c r="G128" s="477"/>
      <c r="H128" s="307" t="str">
        <f t="shared" ref="H128:H131" si="29">H127</f>
        <v>zzOther</v>
      </c>
      <c r="I128" s="307" t="s">
        <v>656</v>
      </c>
      <c r="J128" s="307" t="s">
        <v>686</v>
      </c>
      <c r="K128" s="307" t="s">
        <v>626</v>
      </c>
      <c r="L128" s="307">
        <f>'Imp-Other-Autre'!$D$23</f>
        <v>0</v>
      </c>
      <c r="M128" s="307" t="s">
        <v>659</v>
      </c>
      <c r="N128" s="362" t="s">
        <v>49</v>
      </c>
      <c r="O128" s="310" t="str">
        <f t="shared" si="27"/>
        <v xml:space="preserve">Account 3 - </v>
      </c>
      <c r="P128" s="307"/>
      <c r="Q128" s="311" t="str">
        <f t="shared" si="15"/>
        <v>Imp-Sls</v>
      </c>
      <c r="R128">
        <f>'Imp-Other-Autre'!E106</f>
        <v>0</v>
      </c>
      <c r="S128">
        <f>'Imp-Other-Autre'!F106</f>
        <v>0</v>
      </c>
      <c r="T128">
        <f>'Imp-Other-Autre'!G106</f>
        <v>0</v>
      </c>
      <c r="U128">
        <f>'Imp-Other-Autre'!H106</f>
        <v>0</v>
      </c>
      <c r="V128">
        <f>'Imp-Other-Autre'!I106</f>
        <v>0</v>
      </c>
      <c r="W128">
        <f>'Imp-Other-Autre'!J106</f>
        <v>0</v>
      </c>
      <c r="X128">
        <f>'Imp-Other-Autre'!K106</f>
        <v>0</v>
      </c>
      <c r="Y128">
        <f>'Imp-Other-Autre'!L106</f>
        <v>0</v>
      </c>
      <c r="Z128" s="419">
        <f>'Imp-Other-Autre'!E107/$Z$100</f>
        <v>0</v>
      </c>
      <c r="AA128" s="370">
        <f>'Imp-Other-Autre'!F107/$Z$100</f>
        <v>0</v>
      </c>
      <c r="AB128" s="370">
        <f>'Imp-Other-Autre'!G107/$Z$100</f>
        <v>0</v>
      </c>
      <c r="AC128" s="370">
        <f>'Imp-Other-Autre'!H107/$Z$100</f>
        <v>0</v>
      </c>
      <c r="AD128" s="370">
        <f>'Imp-Other-Autre'!I107/$Z$100</f>
        <v>0</v>
      </c>
      <c r="AE128" s="370">
        <f>'Imp-Other-Autre'!J107/$Z$100</f>
        <v>0</v>
      </c>
      <c r="AF128" s="370">
        <f>'Imp-Other-Autre'!K107/$Z$100</f>
        <v>0</v>
      </c>
      <c r="AG128" s="370">
        <f>'Imp-Other-Autre'!L107/$Z$100</f>
        <v>0</v>
      </c>
      <c r="AH128" s="370"/>
    </row>
    <row r="129" spans="2:42" x14ac:dyDescent="0.3">
      <c r="B129" s="307">
        <f>Intro!$E$69</f>
        <v>0</v>
      </c>
      <c r="C129" s="305">
        <f t="shared" si="11"/>
        <v>0</v>
      </c>
      <c r="D129" s="307" t="str">
        <f t="shared" si="28"/>
        <v>2 - Importer</v>
      </c>
      <c r="E129" s="477"/>
      <c r="F129" s="477"/>
      <c r="G129" s="477"/>
      <c r="H129" s="307" t="str">
        <f t="shared" si="29"/>
        <v>zzOther</v>
      </c>
      <c r="I129" s="307" t="s">
        <v>656</v>
      </c>
      <c r="J129" s="307" t="s">
        <v>686</v>
      </c>
      <c r="K129" s="307" t="s">
        <v>626</v>
      </c>
      <c r="L129" s="307">
        <f>'Imp-Other-Autre'!$D$23</f>
        <v>0</v>
      </c>
      <c r="M129" s="307" t="s">
        <v>659</v>
      </c>
      <c r="N129" s="362" t="s">
        <v>51</v>
      </c>
      <c r="O129" s="310" t="str">
        <f t="shared" si="27"/>
        <v xml:space="preserve">Account 4 - </v>
      </c>
      <c r="P129" s="307"/>
      <c r="Q129" s="311" t="str">
        <f t="shared" si="15"/>
        <v>Imp-Sls</v>
      </c>
      <c r="R129">
        <f>'Imp-Other-Autre'!E110</f>
        <v>0</v>
      </c>
      <c r="S129">
        <f>'Imp-Other-Autre'!F110</f>
        <v>0</v>
      </c>
      <c r="T129">
        <f>'Imp-Other-Autre'!G110</f>
        <v>0</v>
      </c>
      <c r="U129">
        <f>'Imp-Other-Autre'!H110</f>
        <v>0</v>
      </c>
      <c r="V129">
        <f>'Imp-Other-Autre'!I110</f>
        <v>0</v>
      </c>
      <c r="W129">
        <f>'Imp-Other-Autre'!J110</f>
        <v>0</v>
      </c>
      <c r="X129">
        <f>'Imp-Other-Autre'!K110</f>
        <v>0</v>
      </c>
      <c r="Y129">
        <f>'Imp-Other-Autre'!L110</f>
        <v>0</v>
      </c>
      <c r="Z129" s="419">
        <f>'Imp-Other-Autre'!E111/$Z$100</f>
        <v>0</v>
      </c>
      <c r="AA129" s="370">
        <f>'Imp-Other-Autre'!F111/$Z$100</f>
        <v>0</v>
      </c>
      <c r="AB129" s="370">
        <f>'Imp-Other-Autre'!G111/$Z$100</f>
        <v>0</v>
      </c>
      <c r="AC129" s="370">
        <f>'Imp-Other-Autre'!H111/$Z$100</f>
        <v>0</v>
      </c>
      <c r="AD129" s="370">
        <f>'Imp-Other-Autre'!I111/$Z$100</f>
        <v>0</v>
      </c>
      <c r="AE129" s="370">
        <f>'Imp-Other-Autre'!J111/$Z$100</f>
        <v>0</v>
      </c>
      <c r="AF129" s="370">
        <f>'Imp-Other-Autre'!K111/$Z$100</f>
        <v>0</v>
      </c>
      <c r="AG129" s="370">
        <f>'Imp-Other-Autre'!L111/$Z$100</f>
        <v>0</v>
      </c>
      <c r="AH129" s="370"/>
    </row>
    <row r="130" spans="2:42" x14ac:dyDescent="0.3">
      <c r="B130" s="307">
        <f>Intro!$E$69</f>
        <v>0</v>
      </c>
      <c r="C130" s="305">
        <f t="shared" si="11"/>
        <v>0</v>
      </c>
      <c r="D130" s="307" t="str">
        <f t="shared" si="28"/>
        <v>2 - Importer</v>
      </c>
      <c r="E130" s="477"/>
      <c r="F130" s="477"/>
      <c r="G130" s="477"/>
      <c r="H130" s="307" t="str">
        <f t="shared" si="29"/>
        <v>zzOther</v>
      </c>
      <c r="I130" s="307" t="s">
        <v>656</v>
      </c>
      <c r="J130" s="307" t="s">
        <v>686</v>
      </c>
      <c r="K130" s="307" t="s">
        <v>626</v>
      </c>
      <c r="L130" s="307">
        <f>'Imp-Other-Autre'!$D$23</f>
        <v>0</v>
      </c>
      <c r="M130" s="307" t="s">
        <v>659</v>
      </c>
      <c r="N130" s="362" t="s">
        <v>53</v>
      </c>
      <c r="O130" s="310" t="str">
        <f t="shared" si="27"/>
        <v xml:space="preserve">Account 5 - </v>
      </c>
      <c r="P130" s="307"/>
      <c r="Q130" s="311" t="str">
        <f t="shared" si="15"/>
        <v>Imp-Sls</v>
      </c>
      <c r="R130">
        <f>'Imp-Other-Autre'!E114</f>
        <v>0</v>
      </c>
      <c r="S130">
        <f>'Imp-Other-Autre'!F114</f>
        <v>0</v>
      </c>
      <c r="T130">
        <f>'Imp-Other-Autre'!G114</f>
        <v>0</v>
      </c>
      <c r="U130">
        <f>'Imp-Other-Autre'!H114</f>
        <v>0</v>
      </c>
      <c r="V130">
        <f>'Imp-Other-Autre'!I114</f>
        <v>0</v>
      </c>
      <c r="W130">
        <f>'Imp-Other-Autre'!J114</f>
        <v>0</v>
      </c>
      <c r="X130">
        <f>'Imp-Other-Autre'!K114</f>
        <v>0</v>
      </c>
      <c r="Y130">
        <f>'Imp-Other-Autre'!L114</f>
        <v>0</v>
      </c>
      <c r="Z130" s="419">
        <f>'Imp-Other-Autre'!E115/$Z$100</f>
        <v>0</v>
      </c>
      <c r="AA130" s="370">
        <f>'Imp-Other-Autre'!F115/$Z$100</f>
        <v>0</v>
      </c>
      <c r="AB130" s="370">
        <f>'Imp-Other-Autre'!G115/$Z$100</f>
        <v>0</v>
      </c>
      <c r="AC130" s="370">
        <f>'Imp-Other-Autre'!H115/$Z$100</f>
        <v>0</v>
      </c>
      <c r="AD130" s="370">
        <f>'Imp-Other-Autre'!I115/$Z$100</f>
        <v>0</v>
      </c>
      <c r="AE130" s="370">
        <f>'Imp-Other-Autre'!J115/$Z$100</f>
        <v>0</v>
      </c>
      <c r="AF130" s="370">
        <f>'Imp-Other-Autre'!K115/$Z$100</f>
        <v>0</v>
      </c>
      <c r="AG130" s="370">
        <f>'Imp-Other-Autre'!L115/$Z$100</f>
        <v>0</v>
      </c>
      <c r="AH130" s="370"/>
    </row>
    <row r="131" spans="2:42" x14ac:dyDescent="0.3">
      <c r="B131" s="307">
        <f>Intro!$E$69</f>
        <v>0</v>
      </c>
      <c r="C131" s="305">
        <f t="shared" si="11"/>
        <v>0</v>
      </c>
      <c r="D131" s="307" t="str">
        <f t="shared" si="28"/>
        <v>2 - Importer</v>
      </c>
      <c r="E131" s="477"/>
      <c r="F131" s="477"/>
      <c r="G131" s="477"/>
      <c r="H131" s="307" t="str">
        <f t="shared" si="29"/>
        <v>zzOther</v>
      </c>
      <c r="I131" s="307" t="s">
        <v>656</v>
      </c>
      <c r="J131" s="307" t="s">
        <v>686</v>
      </c>
      <c r="K131" s="307" t="s">
        <v>626</v>
      </c>
      <c r="L131" s="307">
        <f>'Imp-Other-Autre'!$D$23</f>
        <v>0</v>
      </c>
      <c r="M131" s="307" t="s">
        <v>659</v>
      </c>
      <c r="N131" s="362" t="s">
        <v>605</v>
      </c>
      <c r="O131" s="310" t="str">
        <f t="shared" si="27"/>
        <v xml:space="preserve">Account 6 - </v>
      </c>
      <c r="P131" s="307"/>
      <c r="Q131" s="311" t="str">
        <f t="shared" si="15"/>
        <v>Imp-Sls</v>
      </c>
      <c r="R131">
        <f>'Imp-Other-Autre'!E118</f>
        <v>0</v>
      </c>
      <c r="S131">
        <f>'Imp-Other-Autre'!F118</f>
        <v>0</v>
      </c>
      <c r="T131">
        <f>'Imp-Other-Autre'!G118</f>
        <v>0</v>
      </c>
      <c r="U131">
        <f>'Imp-Other-Autre'!H118</f>
        <v>0</v>
      </c>
      <c r="V131">
        <f>'Imp-Other-Autre'!I118</f>
        <v>0</v>
      </c>
      <c r="W131">
        <f>'Imp-Other-Autre'!J118</f>
        <v>0</v>
      </c>
      <c r="X131">
        <f>'Imp-Other-Autre'!K118</f>
        <v>0</v>
      </c>
      <c r="Y131">
        <f>'Imp-Other-Autre'!L118</f>
        <v>0</v>
      </c>
      <c r="Z131" s="419">
        <f>'Imp-Other-Autre'!E119/$Z$100</f>
        <v>0</v>
      </c>
      <c r="AA131" s="370">
        <f>'Imp-Other-Autre'!F119/$Z$100</f>
        <v>0</v>
      </c>
      <c r="AB131" s="370">
        <f>'Imp-Other-Autre'!G119/$Z$100</f>
        <v>0</v>
      </c>
      <c r="AC131" s="370">
        <f>'Imp-Other-Autre'!H119/$Z$100</f>
        <v>0</v>
      </c>
      <c r="AD131" s="370">
        <f>'Imp-Other-Autre'!I119/$Z$100</f>
        <v>0</v>
      </c>
      <c r="AE131" s="370">
        <f>'Imp-Other-Autre'!J119/$Z$100</f>
        <v>0</v>
      </c>
      <c r="AF131" s="370">
        <f>'Imp-Other-Autre'!K119/$Z$100</f>
        <v>0</v>
      </c>
      <c r="AG131" s="370">
        <f>'Imp-Other-Autre'!L119/$Z$100</f>
        <v>0</v>
      </c>
      <c r="AH131" s="370"/>
    </row>
    <row r="132" spans="2:42" x14ac:dyDescent="0.3">
      <c r="AM132" s="407"/>
      <c r="AN132" s="407"/>
      <c r="AO132" s="407"/>
      <c r="AP132" s="407"/>
    </row>
    <row r="133" spans="2:42" x14ac:dyDescent="0.3">
      <c r="AM133" s="407"/>
      <c r="AN133" s="407"/>
      <c r="AO133" s="407"/>
      <c r="AP133" s="407"/>
    </row>
    <row r="134" spans="2:42" x14ac:dyDescent="0.3">
      <c r="B134" s="827" t="s">
        <v>711</v>
      </c>
      <c r="C134" s="828"/>
      <c r="T134" s="309"/>
      <c r="U134" s="839" t="s">
        <v>786</v>
      </c>
      <c r="V134" s="840"/>
      <c r="W134" s="840"/>
      <c r="X134" s="840"/>
      <c r="Y134" s="840"/>
      <c r="Z134" s="840"/>
      <c r="AA134" s="840"/>
      <c r="AB134" s="840"/>
      <c r="AC134" s="492"/>
      <c r="AD134" s="492"/>
      <c r="AE134" s="492"/>
      <c r="AF134" s="492"/>
      <c r="AG134" s="492"/>
      <c r="AH134" s="492"/>
      <c r="AI134" s="492"/>
      <c r="AJ134" s="492"/>
      <c r="AK134" s="492"/>
      <c r="AL134" s="492"/>
      <c r="AM134" s="407"/>
      <c r="AN134" s="407"/>
      <c r="AO134" s="407"/>
      <c r="AP134" s="407"/>
    </row>
    <row r="135" spans="2:42" ht="43.2" x14ac:dyDescent="0.3">
      <c r="B135" s="446" t="s">
        <v>631</v>
      </c>
      <c r="C135" s="446" t="s">
        <v>632</v>
      </c>
      <c r="D135" s="446" t="s">
        <v>633</v>
      </c>
      <c r="E135" s="446" t="s">
        <v>634</v>
      </c>
      <c r="F135" s="446" t="s">
        <v>712</v>
      </c>
      <c r="G135" s="446" t="s">
        <v>638</v>
      </c>
      <c r="H135" s="446" t="s">
        <v>639</v>
      </c>
      <c r="I135" s="446" t="s">
        <v>640</v>
      </c>
      <c r="J135" s="446" t="s">
        <v>641</v>
      </c>
      <c r="K135" s="446" t="s">
        <v>713</v>
      </c>
      <c r="L135" s="446" t="s">
        <v>643</v>
      </c>
      <c r="M135" s="446" t="s">
        <v>782</v>
      </c>
      <c r="N135" s="446" t="s">
        <v>783</v>
      </c>
      <c r="O135" s="446" t="s">
        <v>784</v>
      </c>
      <c r="P135" s="446" t="s">
        <v>785</v>
      </c>
      <c r="Q135" s="446" t="s">
        <v>796</v>
      </c>
      <c r="R135" s="446">
        <v>45748</v>
      </c>
      <c r="S135" s="446">
        <v>45901</v>
      </c>
      <c r="T135" s="491">
        <v>46113</v>
      </c>
      <c r="U135" s="446" t="s">
        <v>782</v>
      </c>
      <c r="V135" s="446" t="s">
        <v>783</v>
      </c>
      <c r="W135" s="446" t="s">
        <v>784</v>
      </c>
      <c r="X135" s="446" t="s">
        <v>785</v>
      </c>
      <c r="Y135" s="446" t="s">
        <v>796</v>
      </c>
      <c r="Z135" s="446">
        <v>45748</v>
      </c>
      <c r="AA135" s="446">
        <v>45901</v>
      </c>
      <c r="AB135" s="446">
        <v>46113</v>
      </c>
      <c r="AC135" s="447"/>
      <c r="AD135" s="447"/>
      <c r="AE135" s="447"/>
      <c r="AF135" s="447"/>
      <c r="AG135" s="447"/>
      <c r="AH135" s="447"/>
      <c r="AI135" s="447"/>
      <c r="AJ135" s="447"/>
      <c r="AK135" s="447"/>
      <c r="AL135" s="447"/>
      <c r="AM135" s="447"/>
      <c r="AN135" s="447"/>
      <c r="AO135" s="447"/>
      <c r="AP135" s="447"/>
    </row>
    <row r="136" spans="2:42" x14ac:dyDescent="0.3">
      <c r="B136" s="307">
        <f>Intro!$E$69</f>
        <v>0</v>
      </c>
      <c r="C136">
        <f>$B$16</f>
        <v>0</v>
      </c>
      <c r="D136" t="str">
        <f t="shared" ref="D136:E140" si="30">D16</f>
        <v>2 - Importer</v>
      </c>
      <c r="E136" t="str">
        <f t="shared" si="30"/>
        <v/>
      </c>
      <c r="G136">
        <f>'Imp-Exp1'!G23</f>
        <v>0</v>
      </c>
      <c r="H136" t="s">
        <v>650</v>
      </c>
      <c r="I136" t="s">
        <v>651</v>
      </c>
      <c r="J136" t="s">
        <v>621</v>
      </c>
      <c r="L136" t="s">
        <v>652</v>
      </c>
      <c r="M136" s="419">
        <f>'Imp-Exp1'!E273</f>
        <v>0</v>
      </c>
      <c r="N136" s="370">
        <f>'Imp-Exp1'!F273</f>
        <v>0</v>
      </c>
      <c r="O136" s="370">
        <f>'Imp-Exp1'!G273</f>
        <v>0</v>
      </c>
      <c r="P136" s="370">
        <f>'Imp-Exp1'!H273</f>
        <v>0</v>
      </c>
      <c r="Q136" s="370">
        <f>'Imp-Exp1'!I273</f>
        <v>0</v>
      </c>
      <c r="R136" s="370">
        <f>'Imp-Exp1'!$E$277</f>
        <v>0</v>
      </c>
      <c r="S136" s="370">
        <f>'Imp-Exp1'!$G$277</f>
        <v>0</v>
      </c>
      <c r="T136" s="370">
        <f>'Imp-Exp1'!$I$277</f>
        <v>0</v>
      </c>
      <c r="U136" s="419">
        <f>'Imp-Exp1'!E274</f>
        <v>0</v>
      </c>
      <c r="V136" s="370">
        <f>'Imp-Exp1'!F274</f>
        <v>0</v>
      </c>
      <c r="W136" s="370">
        <f>'Imp-Exp1'!G274</f>
        <v>0</v>
      </c>
      <c r="X136" s="370">
        <f>'Imp-Exp1'!H274</f>
        <v>0</v>
      </c>
      <c r="Y136" s="370">
        <f>'Imp-Exp1'!I274</f>
        <v>0</v>
      </c>
      <c r="Z136" s="370">
        <f>'Imp-Exp1'!$E$278</f>
        <v>0</v>
      </c>
      <c r="AA136" s="370">
        <f>'Imp-Exp1'!$G$278</f>
        <v>0</v>
      </c>
      <c r="AB136">
        <f>'Imp-Exp1'!$I$278</f>
        <v>0</v>
      </c>
      <c r="AC136" s="407"/>
      <c r="AD136" s="407"/>
      <c r="AE136" s="407"/>
      <c r="AF136" s="407"/>
      <c r="AG136" s="407"/>
      <c r="AH136" s="407"/>
      <c r="AI136" s="407"/>
      <c r="AJ136" s="407"/>
      <c r="AK136" s="407"/>
      <c r="AL136" s="407"/>
      <c r="AM136" s="407"/>
      <c r="AN136" s="407"/>
      <c r="AO136" s="407"/>
      <c r="AP136" s="407"/>
    </row>
    <row r="137" spans="2:42" x14ac:dyDescent="0.3">
      <c r="B137" s="307">
        <f>Intro!$E$69</f>
        <v>0</v>
      </c>
      <c r="C137">
        <f t="shared" ref="C137:C140" si="31">$B$16</f>
        <v>0</v>
      </c>
      <c r="D137" t="str">
        <f t="shared" si="30"/>
        <v>2 - Importer</v>
      </c>
      <c r="E137" t="str">
        <f t="shared" si="30"/>
        <v/>
      </c>
      <c r="G137">
        <f>'Imp-Exp2'!G23</f>
        <v>0</v>
      </c>
      <c r="H137" t="s">
        <v>650</v>
      </c>
      <c r="I137" t="s">
        <v>651</v>
      </c>
      <c r="J137" t="s">
        <v>621</v>
      </c>
      <c r="L137" t="s">
        <v>652</v>
      </c>
      <c r="M137" s="419">
        <f>'Imp-Exp2'!E273</f>
        <v>0</v>
      </c>
      <c r="N137" s="370">
        <f>'Imp-Exp2'!F273</f>
        <v>0</v>
      </c>
      <c r="O137" s="370">
        <f>'Imp-Exp2'!G273</f>
        <v>0</v>
      </c>
      <c r="P137" s="370">
        <f>'Imp-Exp2'!H273</f>
        <v>0</v>
      </c>
      <c r="Q137" s="370">
        <f>'Imp-Exp2'!I273</f>
        <v>0</v>
      </c>
      <c r="R137" s="370">
        <f>'Imp-Exp2'!$E$277</f>
        <v>0</v>
      </c>
      <c r="S137" s="370">
        <f>'Imp-Exp2'!$G$277</f>
        <v>0</v>
      </c>
      <c r="T137" s="370">
        <f>'Imp-Exp2'!$I$277</f>
        <v>0</v>
      </c>
      <c r="U137" s="419">
        <f>'Imp-Exp2'!E274</f>
        <v>0</v>
      </c>
      <c r="V137" s="370">
        <f>'Imp-Exp2'!F274</f>
        <v>0</v>
      </c>
      <c r="W137" s="370">
        <f>'Imp-Exp2'!G274</f>
        <v>0</v>
      </c>
      <c r="X137" s="370">
        <f>'Imp-Exp2'!H274</f>
        <v>0</v>
      </c>
      <c r="Y137" s="370">
        <f>'Imp-Exp2'!I274</f>
        <v>0</v>
      </c>
      <c r="Z137" s="370">
        <f>'Imp-Exp2'!$E$278</f>
        <v>0</v>
      </c>
      <c r="AA137" s="370">
        <f>'Imp-Exp2'!$G$278</f>
        <v>0</v>
      </c>
      <c r="AB137">
        <f>'Imp-Exp2'!$I$278</f>
        <v>0</v>
      </c>
      <c r="AC137" s="407"/>
      <c r="AD137" s="407"/>
      <c r="AE137" s="407"/>
      <c r="AF137" s="407"/>
      <c r="AG137" s="407"/>
      <c r="AH137" s="407"/>
      <c r="AI137" s="407"/>
      <c r="AJ137" s="407"/>
      <c r="AK137" s="407"/>
      <c r="AL137" s="407"/>
      <c r="AM137" s="407"/>
      <c r="AN137" s="407"/>
      <c r="AO137" s="407"/>
      <c r="AP137" s="407"/>
    </row>
    <row r="138" spans="2:42" x14ac:dyDescent="0.3">
      <c r="B138" s="307">
        <f>Intro!$E$69</f>
        <v>0</v>
      </c>
      <c r="C138">
        <f t="shared" si="31"/>
        <v>0</v>
      </c>
      <c r="D138" t="str">
        <f t="shared" si="30"/>
        <v>2 - Importer</v>
      </c>
      <c r="E138" t="str">
        <f t="shared" si="30"/>
        <v/>
      </c>
      <c r="G138">
        <f>'Imp-Exp3'!G23</f>
        <v>0</v>
      </c>
      <c r="H138" t="s">
        <v>650</v>
      </c>
      <c r="I138" t="s">
        <v>651</v>
      </c>
      <c r="J138" t="s">
        <v>621</v>
      </c>
      <c r="L138" t="s">
        <v>652</v>
      </c>
      <c r="M138" s="419">
        <f>'Imp-Exp3'!E273</f>
        <v>0</v>
      </c>
      <c r="N138" s="370">
        <f>'Imp-Exp3'!F273</f>
        <v>0</v>
      </c>
      <c r="O138" s="370">
        <f>'Imp-Exp3'!G273</f>
        <v>0</v>
      </c>
      <c r="P138" s="370">
        <f>'Imp-Exp3'!H273</f>
        <v>0</v>
      </c>
      <c r="Q138" s="370">
        <f>'Imp-Exp3'!I273</f>
        <v>0</v>
      </c>
      <c r="R138" s="370">
        <f>'Imp-Exp3'!$E$277</f>
        <v>0</v>
      </c>
      <c r="S138" s="370">
        <f>'Imp-Exp3'!$G$277</f>
        <v>0</v>
      </c>
      <c r="T138" s="370">
        <f>'Imp-Exp3'!$I$277</f>
        <v>0</v>
      </c>
      <c r="U138" s="419">
        <f>'Imp-Exp3'!E274</f>
        <v>0</v>
      </c>
      <c r="V138" s="370">
        <f>'Imp-Exp3'!F274</f>
        <v>0</v>
      </c>
      <c r="W138" s="370">
        <f>'Imp-Exp3'!G274</f>
        <v>0</v>
      </c>
      <c r="X138" s="370">
        <f>'Imp-Exp3'!H274</f>
        <v>0</v>
      </c>
      <c r="Y138" s="370">
        <f>'Imp-Exp3'!I274</f>
        <v>0</v>
      </c>
      <c r="Z138" s="370">
        <f>'Imp-Exp3'!$E$278</f>
        <v>0</v>
      </c>
      <c r="AA138" s="370">
        <f>'Imp-Exp3'!$G$278</f>
        <v>0</v>
      </c>
      <c r="AB138">
        <f>'Imp-Exp3'!$I$278</f>
        <v>0</v>
      </c>
      <c r="AC138" s="407"/>
      <c r="AD138" s="407"/>
      <c r="AE138" s="407"/>
      <c r="AF138" s="407"/>
      <c r="AG138" s="407"/>
      <c r="AH138" s="407"/>
      <c r="AI138" s="407"/>
      <c r="AJ138" s="407"/>
      <c r="AK138" s="407"/>
      <c r="AL138" s="407"/>
      <c r="AM138" s="407"/>
      <c r="AN138" s="407"/>
      <c r="AO138" s="407"/>
      <c r="AP138" s="407"/>
    </row>
    <row r="139" spans="2:42" x14ac:dyDescent="0.3">
      <c r="B139" s="307">
        <f>Intro!$E$69</f>
        <v>0</v>
      </c>
      <c r="C139">
        <f t="shared" si="31"/>
        <v>0</v>
      </c>
      <c r="D139" t="str">
        <f t="shared" si="30"/>
        <v>2 - Importer</v>
      </c>
      <c r="E139" t="str">
        <f t="shared" si="30"/>
        <v/>
      </c>
      <c r="G139" t="s">
        <v>655</v>
      </c>
      <c r="H139" t="s">
        <v>656</v>
      </c>
      <c r="I139" t="s">
        <v>657</v>
      </c>
      <c r="J139" t="s">
        <v>658</v>
      </c>
      <c r="L139" t="s">
        <v>659</v>
      </c>
      <c r="M139" s="419">
        <f>'Imp-US'!E273</f>
        <v>0</v>
      </c>
      <c r="N139" s="370">
        <f>'Imp-US'!F273</f>
        <v>0</v>
      </c>
      <c r="O139" s="370">
        <f>'Imp-US'!G273</f>
        <v>0</v>
      </c>
      <c r="P139" s="370">
        <f>'Imp-US'!H273</f>
        <v>0</v>
      </c>
      <c r="Q139" s="370">
        <f>'Imp-US'!I273</f>
        <v>0</v>
      </c>
      <c r="R139" s="370">
        <f>'Imp-US'!$E$277</f>
        <v>0</v>
      </c>
      <c r="S139" s="370">
        <f>'Imp-US'!$G$277</f>
        <v>0</v>
      </c>
      <c r="T139" s="370">
        <f>'Imp-US'!$I$277</f>
        <v>0</v>
      </c>
      <c r="U139" s="419">
        <f>'Imp-US'!E274</f>
        <v>0</v>
      </c>
      <c r="V139" s="370">
        <f>'Imp-US'!F274</f>
        <v>0</v>
      </c>
      <c r="W139" s="370">
        <f>'Imp-US'!G274</f>
        <v>0</v>
      </c>
      <c r="X139" s="370">
        <f>'Imp-US'!H274</f>
        <v>0</v>
      </c>
      <c r="Y139" s="370">
        <f>'Imp-US'!I274</f>
        <v>0</v>
      </c>
      <c r="Z139" s="370">
        <f>'Imp-US'!$E$278</f>
        <v>0</v>
      </c>
      <c r="AA139" s="370">
        <f>'Imp-US'!$G$278</f>
        <v>0</v>
      </c>
      <c r="AB139">
        <f>'Imp-US'!$I$278</f>
        <v>0</v>
      </c>
      <c r="AC139" s="407"/>
      <c r="AD139" s="407"/>
      <c r="AE139" s="407"/>
      <c r="AF139" s="407"/>
      <c r="AG139" s="407"/>
      <c r="AH139" s="407"/>
      <c r="AI139" s="407"/>
      <c r="AJ139" s="407"/>
      <c r="AK139" s="407"/>
      <c r="AL139" s="407"/>
      <c r="AM139" s="407"/>
      <c r="AN139" s="407"/>
      <c r="AO139" s="407"/>
      <c r="AP139" s="407"/>
    </row>
    <row r="140" spans="2:42" x14ac:dyDescent="0.3">
      <c r="B140" s="307">
        <f>Intro!$E$69</f>
        <v>0</v>
      </c>
      <c r="C140">
        <f t="shared" si="31"/>
        <v>0</v>
      </c>
      <c r="D140" t="str">
        <f t="shared" si="30"/>
        <v>2 - Importer</v>
      </c>
      <c r="E140" t="str">
        <f t="shared" si="30"/>
        <v/>
      </c>
      <c r="G140" s="307" t="s">
        <v>768</v>
      </c>
      <c r="H140" t="s">
        <v>656</v>
      </c>
      <c r="I140" t="s">
        <v>714</v>
      </c>
      <c r="J140" t="s">
        <v>626</v>
      </c>
      <c r="K140">
        <f>'Imp-Other-Autre'!D23</f>
        <v>0</v>
      </c>
      <c r="L140" t="s">
        <v>659</v>
      </c>
      <c r="M140" s="419">
        <f>'Imp-Other-Autre'!E273</f>
        <v>0</v>
      </c>
      <c r="N140" s="370">
        <f>'Imp-Other-Autre'!F273</f>
        <v>0</v>
      </c>
      <c r="O140" s="370">
        <f>'Imp-Other-Autre'!G273</f>
        <v>0</v>
      </c>
      <c r="P140" s="370">
        <f>'Imp-Other-Autre'!H273</f>
        <v>0</v>
      </c>
      <c r="Q140" s="370">
        <f>'Imp-Other-Autre'!I273</f>
        <v>0</v>
      </c>
      <c r="R140" s="370">
        <f>'Imp-Other-Autre'!$E$277</f>
        <v>0</v>
      </c>
      <c r="S140" s="370">
        <f>'Imp-Other-Autre'!$G$277</f>
        <v>0</v>
      </c>
      <c r="T140" s="370">
        <f>'Imp-Other-Autre'!$I$277</f>
        <v>0</v>
      </c>
      <c r="U140" s="419">
        <f>'Imp-Other-Autre'!E274</f>
        <v>0</v>
      </c>
      <c r="V140" s="370">
        <f>'Imp-Other-Autre'!F274</f>
        <v>0</v>
      </c>
      <c r="W140" s="370">
        <f>'Imp-Other-Autre'!G274</f>
        <v>0</v>
      </c>
      <c r="X140" s="370">
        <f>'Imp-Other-Autre'!H274</f>
        <v>0</v>
      </c>
      <c r="Y140" s="370">
        <f>'Imp-Other-Autre'!I274</f>
        <v>0</v>
      </c>
      <c r="Z140" s="370">
        <f>'Imp-Other-Autre'!$E$278</f>
        <v>0</v>
      </c>
      <c r="AA140" s="370">
        <f>'Imp-Other-Autre'!$G$278</f>
        <v>0</v>
      </c>
      <c r="AB140">
        <f>'Imp-Other-Autre'!$I$278</f>
        <v>0</v>
      </c>
      <c r="AC140" s="407"/>
      <c r="AD140" s="407"/>
      <c r="AE140" s="407"/>
      <c r="AF140" s="407"/>
      <c r="AG140" s="407"/>
      <c r="AH140" s="407"/>
      <c r="AI140" s="407"/>
      <c r="AJ140" s="407"/>
      <c r="AK140" s="407"/>
      <c r="AL140" s="407"/>
      <c r="AM140" s="407"/>
      <c r="AN140" s="407"/>
      <c r="AO140" s="407"/>
      <c r="AP140" s="407"/>
    </row>
    <row r="141" spans="2:42" x14ac:dyDescent="0.3">
      <c r="AM141" s="407"/>
      <c r="AN141" s="407"/>
      <c r="AO141" s="407"/>
      <c r="AP141" s="407"/>
    </row>
    <row r="142" spans="2:42" ht="15" thickBot="1" x14ac:dyDescent="0.35">
      <c r="AM142" s="407"/>
      <c r="AN142" s="407"/>
      <c r="AO142" s="407"/>
      <c r="AP142" s="407"/>
    </row>
    <row r="143" spans="2:42" ht="15" thickBot="1" x14ac:dyDescent="0.35">
      <c r="B143" s="827" t="s">
        <v>715</v>
      </c>
      <c r="C143" s="828"/>
      <c r="J143" s="835" t="s">
        <v>781</v>
      </c>
      <c r="K143" s="836"/>
      <c r="L143" s="836"/>
      <c r="M143" s="836"/>
      <c r="N143" s="837"/>
    </row>
    <row r="144" spans="2:42" ht="9.75" customHeight="1" x14ac:dyDescent="0.3">
      <c r="B144" s="838" t="s">
        <v>631</v>
      </c>
      <c r="C144" s="838" t="s">
        <v>716</v>
      </c>
      <c r="D144" s="829" t="s">
        <v>717</v>
      </c>
      <c r="E144" s="829" t="s">
        <v>616</v>
      </c>
      <c r="F144" s="829" t="s">
        <v>617</v>
      </c>
      <c r="G144" s="829" t="s">
        <v>618</v>
      </c>
      <c r="H144" s="831" t="s">
        <v>765</v>
      </c>
      <c r="I144" s="833" t="s">
        <v>773</v>
      </c>
      <c r="J144" s="829" t="s">
        <v>616</v>
      </c>
      <c r="K144" s="829" t="s">
        <v>617</v>
      </c>
      <c r="L144" s="829" t="s">
        <v>618</v>
      </c>
      <c r="M144" s="831" t="s">
        <v>765</v>
      </c>
      <c r="N144" s="833" t="s">
        <v>773</v>
      </c>
    </row>
    <row r="145" spans="2:14" ht="10.5" customHeight="1" thickBot="1" x14ac:dyDescent="0.35">
      <c r="B145" s="830"/>
      <c r="C145" s="830"/>
      <c r="D145" s="830"/>
      <c r="E145" s="830"/>
      <c r="F145" s="830"/>
      <c r="G145" s="830"/>
      <c r="H145" s="832"/>
      <c r="I145" s="834"/>
      <c r="J145" s="830"/>
      <c r="K145" s="830"/>
      <c r="L145" s="830"/>
      <c r="M145" s="832"/>
      <c r="N145" s="834"/>
    </row>
    <row r="146" spans="2:14" x14ac:dyDescent="0.3">
      <c r="B146" s="307">
        <f>Intro!$E$69</f>
        <v>0</v>
      </c>
      <c r="C146" s="314" t="s">
        <v>718</v>
      </c>
      <c r="D146" s="314" t="s">
        <v>623</v>
      </c>
      <c r="E146" s="443">
        <f>'Invent-Stock'!G32+'Invent-Stock'!G70+'Invent-Stock'!G108</f>
        <v>0</v>
      </c>
      <c r="F146" s="315">
        <f>'Invent-Stock'!H32+'Invent-Stock'!H70+'Invent-Stock'!H108</f>
        <v>0</v>
      </c>
      <c r="G146" s="315">
        <f>'Invent-Stock'!I32+'Invent-Stock'!I70+'Invent-Stock'!I108</f>
        <v>0</v>
      </c>
      <c r="H146" s="315">
        <f>'Invent-Stock'!J32+'Invent-Stock'!J70+'Invent-Stock'!J108</f>
        <v>0</v>
      </c>
      <c r="I146" s="315">
        <f>'Invent-Stock'!K32+'Invent-Stock'!K70+'Invent-Stock'!K108</f>
        <v>0</v>
      </c>
      <c r="J146" s="444">
        <f>('Invent-Stock'!G33+'Invent-Stock'!G71+'Invent-Stock'!G109)/1000</f>
        <v>0</v>
      </c>
      <c r="K146" s="445">
        <f>('Invent-Stock'!H33+'Invent-Stock'!H71+'Invent-Stock'!H109)/1000</f>
        <v>0</v>
      </c>
      <c r="L146" s="445">
        <f>('Invent-Stock'!I33+'Invent-Stock'!I71+'Invent-Stock'!I109)/1000</f>
        <v>0</v>
      </c>
      <c r="M146" s="445">
        <f>('Invent-Stock'!J33+'Invent-Stock'!J71+'Invent-Stock'!J109)/1000</f>
        <v>0</v>
      </c>
      <c r="N146" s="445">
        <f>('Invent-Stock'!K33+'Invent-Stock'!K71+'Invent-Stock'!K109)/1000</f>
        <v>0</v>
      </c>
    </row>
    <row r="147" spans="2:14" x14ac:dyDescent="0.3">
      <c r="J147" s="324"/>
    </row>
  </sheetData>
  <sheetProtection algorithmName="SHA-512" hashValue="vdPuBRlUEyJe25RriYWxvzfB/jArlOiJRacfpceelBejS4GEPO3+Xv0LNhdfUYWHYv0yzFVuD2yy3JUPG9juXA==" saltValue="goqLZLli+I24iHSK/Qq/fg==" spinCount="100000" sheet="1" objects="1" scenarios="1" selectLockedCells="1"/>
  <mergeCells count="39">
    <mergeCell ref="B14:C14"/>
    <mergeCell ref="B27:C27"/>
    <mergeCell ref="B4:C4"/>
    <mergeCell ref="I144:I145"/>
    <mergeCell ref="O83:O84"/>
    <mergeCell ref="E144:E145"/>
    <mergeCell ref="F144:F145"/>
    <mergeCell ref="G144:G145"/>
    <mergeCell ref="H144:H145"/>
    <mergeCell ref="B83:B84"/>
    <mergeCell ref="C83:C84"/>
    <mergeCell ref="D83:D84"/>
    <mergeCell ref="E83:E84"/>
    <mergeCell ref="F83:F84"/>
    <mergeCell ref="B81:C82"/>
    <mergeCell ref="B99:C100"/>
    <mergeCell ref="U134:AB134"/>
    <mergeCell ref="P83:P84"/>
    <mergeCell ref="G82:I82"/>
    <mergeCell ref="L82:N82"/>
    <mergeCell ref="G83:G84"/>
    <mergeCell ref="H83:H84"/>
    <mergeCell ref="I83:I84"/>
    <mergeCell ref="J83:J84"/>
    <mergeCell ref="K83:K84"/>
    <mergeCell ref="L83:L84"/>
    <mergeCell ref="M83:M84"/>
    <mergeCell ref="N83:N84"/>
    <mergeCell ref="B134:C134"/>
    <mergeCell ref="B143:C143"/>
    <mergeCell ref="L144:L145"/>
    <mergeCell ref="M144:M145"/>
    <mergeCell ref="N144:N145"/>
    <mergeCell ref="J143:N143"/>
    <mergeCell ref="J144:J145"/>
    <mergeCell ref="K144:K145"/>
    <mergeCell ref="D144:D145"/>
    <mergeCell ref="C144:C145"/>
    <mergeCell ref="B144:B145"/>
  </mergeCells>
  <phoneticPr fontId="42" type="noConversion"/>
  <dataValidations count="2">
    <dataValidation type="list" allowBlank="1" showInputMessage="1" showErrorMessage="1" sqref="Q102:Q131" xr:uid="{52A6713A-1D72-46F7-B327-A659E70ECF09}">
      <formula1>$P$1:$P$2</formula1>
    </dataValidation>
    <dataValidation type="list" allowBlank="1" showInputMessage="1" showErrorMessage="1" sqref="D102:D131" xr:uid="{5487120E-76F5-4602-B9DB-DD9FDCF81948}">
      <formula1>$C$1:$C$2</formula1>
    </dataValidation>
  </dataValidation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2B09-F262-4791-AD52-B27E6854D0C4}">
  <dimension ref="A1:AW147"/>
  <sheetViews>
    <sheetView zoomScale="87" workbookViewId="0">
      <selection activeCell="B58" sqref="B58:D59"/>
    </sheetView>
  </sheetViews>
  <sheetFormatPr defaultRowHeight="14.4" x14ac:dyDescent="0.3"/>
  <cols>
    <col min="3" max="3" width="11.5546875" customWidth="1"/>
    <col min="6" max="6" width="8.5546875" customWidth="1"/>
    <col min="7" max="7" width="8" customWidth="1"/>
    <col min="8" max="8" width="7.5546875" customWidth="1"/>
    <col min="9" max="9" width="8" customWidth="1"/>
    <col min="14" max="15" width="9.109375" customWidth="1"/>
    <col min="16" max="16" width="10.44140625" customWidth="1"/>
    <col min="18" max="18" width="10.5546875" customWidth="1"/>
    <col min="19" max="19" width="10.44140625" customWidth="1"/>
    <col min="21" max="21" width="10.109375" customWidth="1"/>
    <col min="22" max="22" width="10.5546875" customWidth="1"/>
    <col min="31" max="31" width="9.44140625" customWidth="1"/>
    <col min="32" max="32" width="9.88671875" customWidth="1"/>
    <col min="34" max="34" width="10.44140625" customWidth="1"/>
    <col min="35" max="35" width="10.109375" customWidth="1"/>
  </cols>
  <sheetData>
    <row r="1" spans="2:49" x14ac:dyDescent="0.3">
      <c r="V1" s="324"/>
      <c r="W1" s="324"/>
      <c r="X1" s="324"/>
      <c r="Y1" s="324"/>
      <c r="Z1" s="324"/>
      <c r="AA1" s="324"/>
      <c r="AB1" s="324"/>
      <c r="AC1" s="324"/>
      <c r="AD1" s="324"/>
      <c r="AE1" s="324"/>
      <c r="AF1" s="324"/>
      <c r="AG1" s="324"/>
      <c r="AH1" s="324"/>
      <c r="AI1" s="324"/>
    </row>
    <row r="2" spans="2:49" x14ac:dyDescent="0.3">
      <c r="V2" s="324"/>
      <c r="W2" s="324"/>
      <c r="X2" s="324"/>
      <c r="Y2" s="324"/>
      <c r="Z2" s="324"/>
      <c r="AA2" s="324"/>
      <c r="AB2" s="324"/>
      <c r="AC2" s="324"/>
      <c r="AD2" s="324"/>
      <c r="AE2" s="324"/>
      <c r="AF2" s="324"/>
      <c r="AG2" s="324"/>
      <c r="AH2" s="324"/>
      <c r="AI2" s="324"/>
    </row>
    <row r="3" spans="2:49" x14ac:dyDescent="0.3">
      <c r="B3" s="858" t="s">
        <v>607</v>
      </c>
      <c r="V3" s="324"/>
      <c r="W3" s="324"/>
      <c r="X3" s="324"/>
      <c r="Y3" s="324"/>
      <c r="Z3" s="324"/>
      <c r="AA3" s="324"/>
      <c r="AB3" s="324"/>
      <c r="AC3" s="324"/>
      <c r="AD3" s="324"/>
      <c r="AE3" s="324"/>
      <c r="AF3" s="324"/>
      <c r="AG3" s="324"/>
      <c r="AH3" s="324"/>
      <c r="AI3" s="324"/>
    </row>
    <row r="4" spans="2:49" x14ac:dyDescent="0.3">
      <c r="B4" s="858"/>
      <c r="V4" s="324"/>
      <c r="W4" s="324"/>
      <c r="X4" s="324"/>
      <c r="Y4" s="324"/>
      <c r="Z4" s="324"/>
      <c r="AA4" s="324"/>
      <c r="AB4" s="324"/>
      <c r="AC4" s="324"/>
      <c r="AD4" s="324"/>
      <c r="AE4" s="324"/>
      <c r="AF4" s="324"/>
      <c r="AG4" s="324"/>
      <c r="AH4" s="324"/>
      <c r="AI4" s="324"/>
    </row>
    <row r="5" spans="2:49" ht="17.25" customHeight="1" x14ac:dyDescent="0.3">
      <c r="B5" s="337" t="s">
        <v>608</v>
      </c>
      <c r="C5" s="337" t="s">
        <v>609</v>
      </c>
      <c r="D5" s="337" t="s">
        <v>610</v>
      </c>
      <c r="E5" s="338" t="s">
        <v>611</v>
      </c>
      <c r="F5" s="338" t="s">
        <v>612</v>
      </c>
      <c r="G5" s="338" t="s">
        <v>613</v>
      </c>
      <c r="H5" s="339" t="s">
        <v>614</v>
      </c>
      <c r="I5" s="339" t="s">
        <v>646</v>
      </c>
      <c r="J5" s="338" t="s">
        <v>615</v>
      </c>
      <c r="K5" s="340" t="s">
        <v>616</v>
      </c>
      <c r="L5" s="340" t="s">
        <v>617</v>
      </c>
      <c r="M5" s="340" t="s">
        <v>618</v>
      </c>
      <c r="N5" s="340" t="s">
        <v>765</v>
      </c>
      <c r="O5" s="340" t="s">
        <v>773</v>
      </c>
      <c r="V5" s="324"/>
      <c r="W5" s="325"/>
      <c r="X5" s="325"/>
      <c r="Y5" s="325"/>
      <c r="Z5" s="326"/>
      <c r="AA5" s="326"/>
      <c r="AB5" s="326"/>
      <c r="AC5" s="327"/>
      <c r="AD5" s="327"/>
      <c r="AE5" s="326"/>
      <c r="AF5" s="328"/>
      <c r="AG5" s="328"/>
      <c r="AH5" s="328"/>
      <c r="AI5" s="324"/>
    </row>
    <row r="6" spans="2:49" x14ac:dyDescent="0.3">
      <c r="B6" s="329">
        <f>Intro!$E$69</f>
        <v>0</v>
      </c>
      <c r="C6" s="329" t="s">
        <v>619</v>
      </c>
      <c r="D6" s="329" t="s">
        <v>620</v>
      </c>
      <c r="E6" s="330" t="s">
        <v>621</v>
      </c>
      <c r="F6" s="330" t="s">
        <v>622</v>
      </c>
      <c r="G6" s="330"/>
      <c r="H6" s="331" t="str">
        <f>_xlfn.TEXTJOIN(", ", TRUE,IF(Public!$K$17="X","Retailer",""),IF(Public!$K$18="X","Distributor",""),IF(Public!$K$19="X","End User",""),IF(Public!$K$21="X","End User",""))</f>
        <v/>
      </c>
      <c r="I6" s="332" t="s">
        <v>567</v>
      </c>
      <c r="J6" s="360" t="s">
        <v>623</v>
      </c>
      <c r="K6" s="363" t="str">
        <f>Confirm!E48</f>
        <v>-</v>
      </c>
      <c r="L6" s="333" t="str">
        <f>Confirm!F48</f>
        <v>-</v>
      </c>
      <c r="M6" s="333" t="str">
        <f>Confirm!G48</f>
        <v>-</v>
      </c>
      <c r="N6" s="333" t="str">
        <f>Confirm!H48</f>
        <v>-</v>
      </c>
      <c r="O6" s="333" t="str">
        <f>Confirm!I48</f>
        <v>-</v>
      </c>
      <c r="V6" s="324"/>
      <c r="W6" s="329"/>
      <c r="X6" s="329"/>
      <c r="Y6" s="329"/>
      <c r="Z6" s="330"/>
      <c r="AA6" s="330"/>
      <c r="AB6" s="330"/>
      <c r="AC6" s="331"/>
      <c r="AD6" s="332"/>
      <c r="AE6" s="330"/>
      <c r="AF6" s="333"/>
      <c r="AG6" s="333"/>
      <c r="AH6" s="333"/>
      <c r="AI6" s="324"/>
    </row>
    <row r="7" spans="2:49" x14ac:dyDescent="0.3">
      <c r="B7" s="329">
        <f>Intro!$E$69</f>
        <v>0</v>
      </c>
      <c r="C7" s="334" t="str">
        <f>C6</f>
        <v>Importer   |  Importateurs</v>
      </c>
      <c r="D7" s="334" t="s">
        <v>620</v>
      </c>
      <c r="E7" s="335" t="s">
        <v>624</v>
      </c>
      <c r="F7" s="335" t="s">
        <v>625</v>
      </c>
      <c r="G7" s="335"/>
      <c r="H7" s="331" t="str">
        <f>_xlfn.TEXTJOIN(", ", TRUE,IF(Public!$K$17="X","Retailer",""),IF(Public!$K$18="X","Distributor",""),IF(Public!$K$19="X","End User",""),IF(Public!$K$21="X","End User",""))</f>
        <v/>
      </c>
      <c r="I7" s="332" t="s">
        <v>567</v>
      </c>
      <c r="J7" s="361" t="s">
        <v>623</v>
      </c>
      <c r="K7" s="363" t="str">
        <f>Confirm!E49</f>
        <v>-</v>
      </c>
      <c r="L7" s="333" t="str">
        <f>Confirm!F49</f>
        <v>-</v>
      </c>
      <c r="M7" s="333" t="str">
        <f>Confirm!G49</f>
        <v>-</v>
      </c>
      <c r="N7" s="333" t="str">
        <f>Confirm!H49</f>
        <v>-</v>
      </c>
      <c r="O7" s="333" t="str">
        <f>Confirm!I49</f>
        <v>-</v>
      </c>
      <c r="U7" s="10"/>
      <c r="V7" s="324"/>
      <c r="W7" s="329"/>
      <c r="X7" s="334"/>
      <c r="Y7" s="334"/>
      <c r="Z7" s="335"/>
      <c r="AA7" s="335"/>
      <c r="AB7" s="335"/>
      <c r="AC7" s="334"/>
      <c r="AD7" s="332"/>
      <c r="AE7" s="335"/>
      <c r="AF7" s="336"/>
      <c r="AG7" s="336"/>
      <c r="AH7" s="336"/>
      <c r="AI7" s="324"/>
    </row>
    <row r="8" spans="2:49" x14ac:dyDescent="0.3">
      <c r="B8" s="329">
        <f>Intro!$E$69</f>
        <v>0</v>
      </c>
      <c r="C8" s="334" t="str">
        <f>C7</f>
        <v>Importer   |  Importateurs</v>
      </c>
      <c r="D8" s="334" t="s">
        <v>620</v>
      </c>
      <c r="E8" s="335" t="s">
        <v>626</v>
      </c>
      <c r="F8" s="335" t="s">
        <v>625</v>
      </c>
      <c r="G8" s="335" t="str">
        <f>Confirm!E51</f>
        <v>-</v>
      </c>
      <c r="H8" s="331" t="str">
        <f>_xlfn.TEXTJOIN(", ", TRUE,IF(Public!$K$17="X","Retailer",""),IF(Public!$K$18="X","Distributor",""),IF(Public!$K$19="X","End User",""),IF(Public!$K$21="X","End User",""))</f>
        <v/>
      </c>
      <c r="I8" s="332" t="s">
        <v>567</v>
      </c>
      <c r="J8" s="361" t="s">
        <v>623</v>
      </c>
      <c r="K8" s="363" t="str">
        <f>Confirm!E50</f>
        <v>-</v>
      </c>
      <c r="L8" s="333" t="str">
        <f>Confirm!F50</f>
        <v>-</v>
      </c>
      <c r="M8" s="333" t="str">
        <f>Confirm!G50</f>
        <v>-</v>
      </c>
      <c r="N8" s="333" t="str">
        <f>Confirm!H50</f>
        <v>-</v>
      </c>
      <c r="O8" s="333" t="str">
        <f>Confirm!I50</f>
        <v>-</v>
      </c>
      <c r="U8" s="300"/>
      <c r="V8" s="324"/>
      <c r="W8" s="329"/>
      <c r="X8" s="334"/>
      <c r="Y8" s="334"/>
      <c r="Z8" s="335"/>
      <c r="AA8" s="335"/>
      <c r="AB8" s="335"/>
      <c r="AC8" s="334"/>
      <c r="AD8" s="332"/>
      <c r="AE8" s="335"/>
      <c r="AF8" s="336"/>
      <c r="AG8" s="336"/>
      <c r="AH8" s="336"/>
      <c r="AI8" s="324"/>
    </row>
    <row r="9" spans="2:49" x14ac:dyDescent="0.3">
      <c r="B9" s="329">
        <f>Intro!$E$69</f>
        <v>0</v>
      </c>
      <c r="C9" s="334" t="str">
        <f t="shared" ref="C9:C11" si="0">C8</f>
        <v>Importer   |  Importateurs</v>
      </c>
      <c r="D9" s="334" t="s">
        <v>627</v>
      </c>
      <c r="E9" s="335" t="s">
        <v>628</v>
      </c>
      <c r="F9" s="335" t="s">
        <v>623</v>
      </c>
      <c r="G9" s="335"/>
      <c r="H9" s="331" t="str">
        <f>_xlfn.TEXTJOIN(", ", TRUE,IF(Public!$K$17="X","Retailer",""),IF(Public!$K$18="X","Distributor",""),IF(Public!$K$19="X","End User",""),IF(Public!$K$21="X","End User",""))</f>
        <v/>
      </c>
      <c r="I9" s="332" t="s">
        <v>567</v>
      </c>
      <c r="J9" s="361" t="s">
        <v>767</v>
      </c>
      <c r="K9" s="365" t="str">
        <f>Confirm!E54</f>
        <v>-</v>
      </c>
      <c r="L9" s="336" t="str">
        <f>Confirm!F54</f>
        <v>-</v>
      </c>
      <c r="M9" s="336" t="str">
        <f>Confirm!G54</f>
        <v>-</v>
      </c>
      <c r="N9" s="336" t="str">
        <f>Confirm!H54</f>
        <v>-</v>
      </c>
      <c r="O9" s="336" t="str">
        <f>Confirm!I54</f>
        <v>-</v>
      </c>
      <c r="U9" s="10"/>
      <c r="V9" s="324"/>
      <c r="W9" s="329"/>
      <c r="X9" s="334"/>
      <c r="Y9" s="334"/>
      <c r="Z9" s="335"/>
      <c r="AA9" s="335"/>
      <c r="AB9" s="335"/>
      <c r="AC9" s="334"/>
      <c r="AD9" s="332"/>
      <c r="AE9" s="335"/>
      <c r="AF9" s="336"/>
      <c r="AG9" s="336"/>
      <c r="AH9" s="336"/>
      <c r="AI9" s="324"/>
    </row>
    <row r="10" spans="2:49" x14ac:dyDescent="0.3">
      <c r="B10" s="329">
        <f>Intro!$E$69</f>
        <v>0</v>
      </c>
      <c r="C10" s="334" t="str">
        <f t="shared" si="0"/>
        <v>Importer   |  Importateurs</v>
      </c>
      <c r="D10" s="334" t="s">
        <v>627</v>
      </c>
      <c r="E10" s="335" t="s">
        <v>628</v>
      </c>
      <c r="F10" s="335" t="s">
        <v>623</v>
      </c>
      <c r="G10" s="335"/>
      <c r="H10" s="331" t="str">
        <f>_xlfn.TEXTJOIN(", ", TRUE,IF(Public!$K$17="X","Retailer",""),IF(Public!$K$18="X","Distributor",""),IF(Public!$K$19="X","End User",""),IF(Public!$K$21="X","End User",""))</f>
        <v/>
      </c>
      <c r="I10" s="332" t="s">
        <v>567</v>
      </c>
      <c r="J10" s="361" t="s">
        <v>766</v>
      </c>
      <c r="K10" s="365" t="str">
        <f>Confirm!E55</f>
        <v>-</v>
      </c>
      <c r="L10" s="336" t="str">
        <f>Confirm!F55</f>
        <v>-</v>
      </c>
      <c r="M10" s="336" t="str">
        <f>Confirm!G55</f>
        <v>-</v>
      </c>
      <c r="N10" s="336" t="str">
        <f>Confirm!H55</f>
        <v>-</v>
      </c>
      <c r="O10" s="336" t="str">
        <f>Confirm!I55</f>
        <v>-</v>
      </c>
      <c r="V10" s="324"/>
      <c r="W10" s="329"/>
      <c r="X10" s="334"/>
      <c r="Y10" s="334"/>
      <c r="Z10" s="335"/>
      <c r="AA10" s="335"/>
      <c r="AB10" s="335"/>
      <c r="AC10" s="334"/>
      <c r="AD10" s="332"/>
      <c r="AE10" s="335"/>
      <c r="AF10" s="336"/>
      <c r="AG10" s="336"/>
      <c r="AH10" s="336"/>
      <c r="AI10" s="324"/>
    </row>
    <row r="11" spans="2:49" x14ac:dyDescent="0.3">
      <c r="B11" s="329">
        <f>Intro!$E$69</f>
        <v>0</v>
      </c>
      <c r="C11" s="334" t="str">
        <f t="shared" si="0"/>
        <v>Importer   |  Importateurs</v>
      </c>
      <c r="D11" s="334" t="s">
        <v>629</v>
      </c>
      <c r="E11" s="335" t="s">
        <v>628</v>
      </c>
      <c r="F11" s="335" t="s">
        <v>623</v>
      </c>
      <c r="G11" s="335"/>
      <c r="H11" s="331" t="str">
        <f>_xlfn.TEXTJOIN(", ", TRUE,IF(Public!$K$17="X","Retailer",""),IF(Public!$K$18="X","Distributor",""),IF(Public!$K$19="X","End User",""),IF(Public!$K$21="X","End User",""))</f>
        <v/>
      </c>
      <c r="I11" s="332" t="s">
        <v>567</v>
      </c>
      <c r="J11" s="361" t="s">
        <v>623</v>
      </c>
      <c r="K11" s="365" t="str">
        <f>Confirm!E56</f>
        <v>-</v>
      </c>
      <c r="L11" s="336" t="str">
        <f>Confirm!F56</f>
        <v>-</v>
      </c>
      <c r="M11" s="336" t="str">
        <f>Confirm!G56</f>
        <v>-</v>
      </c>
      <c r="N11" s="336" t="str">
        <f>Confirm!H56</f>
        <v>-</v>
      </c>
      <c r="O11" s="336" t="str">
        <f>Confirm!I56</f>
        <v>-</v>
      </c>
      <c r="V11" s="324"/>
      <c r="W11" s="329"/>
      <c r="X11" s="334"/>
      <c r="Y11" s="334"/>
      <c r="Z11" s="335"/>
      <c r="AA11" s="335"/>
      <c r="AB11" s="335"/>
      <c r="AC11" s="334"/>
      <c r="AD11" s="332"/>
      <c r="AE11" s="335"/>
      <c r="AF11" s="336"/>
      <c r="AG11" s="336"/>
      <c r="AH11" s="336"/>
      <c r="AI11" s="324"/>
      <c r="AJ11" s="324"/>
      <c r="AK11" s="324"/>
      <c r="AL11" s="324"/>
      <c r="AM11" s="324"/>
      <c r="AN11" s="324"/>
      <c r="AO11" s="324"/>
      <c r="AP11" s="324"/>
      <c r="AQ11" s="324"/>
      <c r="AR11" s="324"/>
      <c r="AS11" s="324"/>
      <c r="AT11" s="324"/>
      <c r="AU11" s="324"/>
      <c r="AV11" s="324"/>
      <c r="AW11" s="324"/>
    </row>
    <row r="12" spans="2:49" x14ac:dyDescent="0.3">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row>
    <row r="13" spans="2:49" x14ac:dyDescent="0.3">
      <c r="B13" s="862" t="s">
        <v>630</v>
      </c>
      <c r="C13" s="862"/>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row>
    <row r="14" spans="2:49" x14ac:dyDescent="0.3">
      <c r="B14" s="862"/>
      <c r="C14" s="862"/>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row>
    <row r="15" spans="2:49" ht="35.4" x14ac:dyDescent="0.3">
      <c r="B15" s="439" t="s">
        <v>631</v>
      </c>
      <c r="C15" s="440" t="s">
        <v>632</v>
      </c>
      <c r="D15" s="431" t="s">
        <v>633</v>
      </c>
      <c r="E15" s="431" t="s">
        <v>634</v>
      </c>
      <c r="F15" s="432" t="s">
        <v>635</v>
      </c>
      <c r="G15" s="432" t="s">
        <v>636</v>
      </c>
      <c r="H15" s="432" t="s">
        <v>637</v>
      </c>
      <c r="I15" s="431" t="s">
        <v>638</v>
      </c>
      <c r="J15" s="431" t="s">
        <v>639</v>
      </c>
      <c r="K15" s="433" t="s">
        <v>640</v>
      </c>
      <c r="L15" s="431" t="s">
        <v>641</v>
      </c>
      <c r="M15" s="434" t="s">
        <v>642</v>
      </c>
      <c r="N15" s="431" t="s">
        <v>643</v>
      </c>
      <c r="O15" s="431" t="s">
        <v>644</v>
      </c>
      <c r="P15" s="431" t="s">
        <v>645</v>
      </c>
      <c r="Q15" s="431" t="s">
        <v>646</v>
      </c>
      <c r="R15" s="435" t="s">
        <v>790</v>
      </c>
      <c r="S15" s="436" t="s">
        <v>791</v>
      </c>
      <c r="T15" s="436" t="s">
        <v>792</v>
      </c>
      <c r="U15" s="436" t="s">
        <v>769</v>
      </c>
      <c r="V15" s="436" t="s">
        <v>770</v>
      </c>
      <c r="W15" s="436" t="s">
        <v>647</v>
      </c>
      <c r="X15" s="437" t="s">
        <v>793</v>
      </c>
      <c r="Y15" s="437" t="s">
        <v>794</v>
      </c>
      <c r="Z15" s="437" t="s">
        <v>795</v>
      </c>
      <c r="AA15" s="437" t="s">
        <v>771</v>
      </c>
      <c r="AB15" s="438" t="s">
        <v>771</v>
      </c>
      <c r="AC15" s="341"/>
      <c r="AD15" s="342"/>
      <c r="AE15" s="342"/>
      <c r="AF15" s="342"/>
      <c r="AG15" s="341"/>
      <c r="AH15" s="341"/>
      <c r="AI15" s="343"/>
      <c r="AJ15" s="341"/>
      <c r="AK15" s="344"/>
      <c r="AL15" s="341"/>
      <c r="AM15" s="341"/>
      <c r="AN15" s="341"/>
      <c r="AO15" s="341"/>
      <c r="AP15" s="345"/>
      <c r="AQ15" s="345"/>
      <c r="AR15" s="345"/>
      <c r="AS15" s="345"/>
      <c r="AT15" s="346"/>
      <c r="AU15" s="346"/>
      <c r="AV15" s="346"/>
      <c r="AW15" s="324"/>
    </row>
    <row r="16" spans="2:49" s="302" customFormat="1" x14ac:dyDescent="0.3">
      <c r="B16" s="371">
        <f>Intro!$E$69</f>
        <v>0</v>
      </c>
      <c r="C16" s="371">
        <f>B16</f>
        <v>0</v>
      </c>
      <c r="D16" s="372" t="s">
        <v>648</v>
      </c>
      <c r="E16" s="371">
        <f>Public!G15</f>
        <v>0</v>
      </c>
      <c r="F16" s="373"/>
      <c r="G16" s="373"/>
      <c r="H16" s="373"/>
      <c r="I16" s="371" t="s">
        <v>649</v>
      </c>
      <c r="J16" s="371" t="s">
        <v>650</v>
      </c>
      <c r="K16" s="371" t="s">
        <v>651</v>
      </c>
      <c r="L16" s="371" t="s">
        <v>621</v>
      </c>
      <c r="M16" s="374"/>
      <c r="N16" s="371" t="s">
        <v>652</v>
      </c>
      <c r="O16" s="375" t="s">
        <v>653</v>
      </c>
      <c r="P16" s="376" t="s">
        <v>623</v>
      </c>
      <c r="Q16" s="301" t="str">
        <f>$I$6</f>
        <v>Stamped</v>
      </c>
      <c r="R16" s="367">
        <f>'Imp-Exp1'!G43+'Imp-Exp2'!G43+'Imp-Exp3'!G43</f>
        <v>0</v>
      </c>
      <c r="S16" s="368">
        <f>'Imp-Exp1'!H43+'Imp-Exp2'!H43+'Imp-Exp3'!H43</f>
        <v>0</v>
      </c>
      <c r="T16" s="368">
        <f>'Imp-Exp1'!I43+'Imp-Exp2'!I43+'Imp-Exp3'!I43</f>
        <v>0</v>
      </c>
      <c r="U16" s="368">
        <f>'Imp-Exp1'!J43+'Imp-Exp2'!J43+'Imp-Exp3'!J43</f>
        <v>0</v>
      </c>
      <c r="V16" s="368">
        <f>'Imp-Exp1'!K43+'Imp-Exp2'!K43+'Imp-Exp3'!K43</f>
        <v>0</v>
      </c>
      <c r="W16" s="368"/>
      <c r="X16" s="368">
        <f>'Imp-Exp1'!G44+'Imp-Exp2'!G44+'Imp-Exp3'!G44</f>
        <v>0</v>
      </c>
      <c r="Y16" s="368">
        <f>'Imp-Exp1'!H44+'Imp-Exp2'!H44+'Imp-Exp3'!H44</f>
        <v>0</v>
      </c>
      <c r="Z16" s="368">
        <f>'Imp-Exp1'!I44+'Imp-Exp2'!I44+'Imp-Exp3'!I44</f>
        <v>0</v>
      </c>
      <c r="AA16" s="368">
        <f>'Imp-Exp1'!J44+'Imp-Exp2'!J44+'Imp-Exp3'!J44</f>
        <v>0</v>
      </c>
      <c r="AB16" s="319">
        <f>'Imp-Exp1'!K44+'Imp-Exp2'!K44+'Imp-Exp3'!K44</f>
        <v>0</v>
      </c>
      <c r="AC16" s="347"/>
      <c r="AD16" s="347"/>
      <c r="AE16" s="347"/>
      <c r="AF16" s="347"/>
      <c r="AG16" s="347"/>
      <c r="AH16" s="347"/>
      <c r="AI16" s="347"/>
      <c r="AJ16" s="347"/>
      <c r="AK16" s="348"/>
      <c r="AL16" s="347"/>
      <c r="AM16" s="349"/>
      <c r="AN16" s="350"/>
      <c r="AO16" s="350"/>
      <c r="AP16" s="357"/>
      <c r="AQ16" s="357"/>
      <c r="AR16" s="357"/>
      <c r="AS16" s="357"/>
      <c r="AT16" s="357"/>
      <c r="AU16" s="357"/>
      <c r="AV16" s="357"/>
      <c r="AW16" s="357"/>
    </row>
    <row r="17" spans="1:49" x14ac:dyDescent="0.3">
      <c r="B17" s="377">
        <f>Intro!$E$69</f>
        <v>0</v>
      </c>
      <c r="C17" s="377">
        <f t="shared" ref="C17:C24" si="1">B17</f>
        <v>0</v>
      </c>
      <c r="D17" s="377" t="str">
        <f t="shared" ref="D17:E18" si="2">D16</f>
        <v>2 - Importer</v>
      </c>
      <c r="E17" s="377">
        <f t="shared" si="2"/>
        <v>0</v>
      </c>
      <c r="F17" s="378"/>
      <c r="G17" s="378"/>
      <c r="H17" s="378"/>
      <c r="I17" s="377" t="s">
        <v>649</v>
      </c>
      <c r="J17" s="377" t="s">
        <v>650</v>
      </c>
      <c r="K17" s="377" t="s">
        <v>651</v>
      </c>
      <c r="L17" s="377" t="s">
        <v>621</v>
      </c>
      <c r="M17" s="379"/>
      <c r="N17" s="377" t="s">
        <v>652</v>
      </c>
      <c r="O17" s="380" t="s">
        <v>654</v>
      </c>
      <c r="P17" s="381" t="str">
        <f>J9</f>
        <v>End users  |  Utilisateurs finals</v>
      </c>
      <c r="Q17" s="475" t="str">
        <f t="shared" ref="Q17:Q24" si="3">$I$6</f>
        <v>Stamped</v>
      </c>
      <c r="R17" s="369">
        <f>'Imp-Exp1'!G47+'Imp-Exp2'!G47+'Imp-Exp3'!G47</f>
        <v>0</v>
      </c>
      <c r="S17" s="370">
        <f>'Imp-Exp1'!H47+'Imp-Exp2'!H47+'Imp-Exp3'!H47</f>
        <v>0</v>
      </c>
      <c r="T17" s="370">
        <f>'Imp-Exp1'!I47+'Imp-Exp2'!I47+'Imp-Exp3'!I47</f>
        <v>0</v>
      </c>
      <c r="U17" s="370">
        <f>'Imp-Exp1'!J47+'Imp-Exp2'!J47+'Imp-Exp3'!J47</f>
        <v>0</v>
      </c>
      <c r="V17" s="370">
        <f>'Imp-Exp1'!K47+'Imp-Exp2'!K47+'Imp-Exp3'!K47</f>
        <v>0</v>
      </c>
      <c r="W17" s="370"/>
      <c r="X17" s="370">
        <f>'Imp-Exp1'!G48+'Imp-Exp2'!G48+'Imp-Exp3'!G48</f>
        <v>0</v>
      </c>
      <c r="Y17" s="370">
        <f>'Imp-Exp1'!H48+'Imp-Exp2'!H48+'Imp-Exp3'!H48</f>
        <v>0</v>
      </c>
      <c r="Z17" s="370">
        <f>'Imp-Exp1'!I48+'Imp-Exp2'!I48+'Imp-Exp3'!I48</f>
        <v>0</v>
      </c>
      <c r="AA17" s="370">
        <f>'Imp-Exp1'!J48+'Imp-Exp2'!J48+'Imp-Exp3'!J48</f>
        <v>0</v>
      </c>
      <c r="AB17" s="309">
        <f>'Imp-Exp1'!K48+'Imp-Exp2'!K48+'Imp-Exp3'!K48</f>
        <v>0</v>
      </c>
      <c r="AC17" s="351"/>
      <c r="AD17" s="351"/>
      <c r="AE17" s="351"/>
      <c r="AF17" s="351"/>
      <c r="AG17" s="351"/>
      <c r="AH17" s="351"/>
      <c r="AI17" s="351"/>
      <c r="AJ17" s="351"/>
      <c r="AK17" s="352"/>
      <c r="AL17" s="351"/>
      <c r="AM17" s="353"/>
      <c r="AN17" s="354"/>
      <c r="AO17" s="350"/>
      <c r="AP17" s="324"/>
      <c r="AQ17" s="324"/>
      <c r="AR17" s="324"/>
      <c r="AS17" s="324"/>
      <c r="AT17" s="324"/>
      <c r="AU17" s="324"/>
      <c r="AV17" s="324"/>
      <c r="AW17" s="324"/>
    </row>
    <row r="18" spans="1:49" ht="13.5" customHeight="1" x14ac:dyDescent="0.3">
      <c r="B18" s="377">
        <f>Intro!$E$69</f>
        <v>0</v>
      </c>
      <c r="C18" s="377">
        <f t="shared" si="1"/>
        <v>0</v>
      </c>
      <c r="D18" s="377" t="str">
        <f t="shared" si="2"/>
        <v>2 - Importer</v>
      </c>
      <c r="E18" s="377">
        <f>E17</f>
        <v>0</v>
      </c>
      <c r="F18" s="378"/>
      <c r="G18" s="378"/>
      <c r="H18" s="378"/>
      <c r="I18" s="377" t="s">
        <v>649</v>
      </c>
      <c r="J18" s="377" t="s">
        <v>650</v>
      </c>
      <c r="K18" s="377" t="s">
        <v>651</v>
      </c>
      <c r="L18" s="377" t="s">
        <v>621</v>
      </c>
      <c r="M18" s="379"/>
      <c r="N18" s="377" t="s">
        <v>652</v>
      </c>
      <c r="O18" s="380" t="s">
        <v>654</v>
      </c>
      <c r="P18" s="381" t="str">
        <f>J10</f>
        <v>Others  |  Autres</v>
      </c>
      <c r="Q18" s="475" t="str">
        <f t="shared" si="3"/>
        <v>Stamped</v>
      </c>
      <c r="R18" s="369">
        <f>'Imp-Exp1'!G50+'Imp-Exp2'!G50+'Imp-Exp3'!G50</f>
        <v>0</v>
      </c>
      <c r="S18" s="370">
        <f>'Imp-Exp1'!H50+'Imp-Exp2'!H50+'Imp-Exp3'!H50</f>
        <v>0</v>
      </c>
      <c r="T18" s="370">
        <f>'Imp-Exp1'!I50+'Imp-Exp2'!I50+'Imp-Exp3'!I50</f>
        <v>0</v>
      </c>
      <c r="U18" s="370">
        <f>'Imp-Exp1'!J50+'Imp-Exp2'!J50+'Imp-Exp3'!J50</f>
        <v>0</v>
      </c>
      <c r="V18" s="370">
        <f>'Imp-Exp1'!K50+'Imp-Exp2'!K50+'Imp-Exp3'!K50</f>
        <v>0</v>
      </c>
      <c r="W18" s="370"/>
      <c r="X18" s="370">
        <f>'Imp-Exp1'!G51+'Imp-Exp2'!G51+'Imp-Exp3'!G51</f>
        <v>0</v>
      </c>
      <c r="Y18" s="370">
        <f>'Imp-Exp1'!H51+'Imp-Exp2'!H51+'Imp-Exp3'!H51</f>
        <v>0</v>
      </c>
      <c r="Z18" s="370">
        <f>'Imp-Exp1'!I51+'Imp-Exp2'!I51+'Imp-Exp3'!I51</f>
        <v>0</v>
      </c>
      <c r="AA18" s="370">
        <f>'Imp-Exp1'!J51+'Imp-Exp2'!J51+'Imp-Exp3'!J51</f>
        <v>0</v>
      </c>
      <c r="AB18" s="309">
        <f>'Imp-Exp1'!K51+'Imp-Exp2'!K51+'Imp-Exp3'!K51</f>
        <v>0</v>
      </c>
      <c r="AC18" s="351"/>
      <c r="AD18" s="351"/>
      <c r="AE18" s="351"/>
      <c r="AF18" s="351"/>
      <c r="AG18" s="351"/>
      <c r="AH18" s="351"/>
      <c r="AI18" s="351"/>
      <c r="AJ18" s="351"/>
      <c r="AK18" s="352"/>
      <c r="AL18" s="351"/>
      <c r="AM18" s="353"/>
      <c r="AN18" s="354"/>
      <c r="AO18" s="350"/>
      <c r="AP18" s="324"/>
      <c r="AQ18" s="324"/>
      <c r="AR18" s="324"/>
      <c r="AS18" s="324"/>
      <c r="AT18" s="324"/>
      <c r="AU18" s="324"/>
      <c r="AV18" s="324"/>
      <c r="AW18" s="324"/>
    </row>
    <row r="19" spans="1:49" s="302" customFormat="1" x14ac:dyDescent="0.3">
      <c r="B19" s="371">
        <f>Intro!$E$69</f>
        <v>0</v>
      </c>
      <c r="C19" s="371">
        <f t="shared" si="1"/>
        <v>0</v>
      </c>
      <c r="D19" s="372" t="s">
        <v>648</v>
      </c>
      <c r="E19" s="371">
        <f>E16</f>
        <v>0</v>
      </c>
      <c r="F19" s="373"/>
      <c r="G19" s="373"/>
      <c r="H19" s="373"/>
      <c r="I19" s="371" t="s">
        <v>655</v>
      </c>
      <c r="J19" s="371" t="s">
        <v>656</v>
      </c>
      <c r="K19" s="371" t="s">
        <v>657</v>
      </c>
      <c r="L19" s="371" t="s">
        <v>658</v>
      </c>
      <c r="M19" s="374"/>
      <c r="N19" s="371" t="s">
        <v>659</v>
      </c>
      <c r="O19" s="375" t="s">
        <v>653</v>
      </c>
      <c r="P19" s="376" t="s">
        <v>623</v>
      </c>
      <c r="Q19" s="301" t="str">
        <f t="shared" si="3"/>
        <v>Stamped</v>
      </c>
      <c r="R19" s="367">
        <f>'Imp-US'!G43</f>
        <v>0</v>
      </c>
      <c r="S19" s="368">
        <f>'Imp-US'!H43</f>
        <v>0</v>
      </c>
      <c r="T19" s="368">
        <f>'Imp-US'!I43</f>
        <v>0</v>
      </c>
      <c r="U19" s="368">
        <f>'Imp-US'!J43</f>
        <v>0</v>
      </c>
      <c r="V19" s="368">
        <f>'Imp-US'!K43</f>
        <v>0</v>
      </c>
      <c r="W19" s="368"/>
      <c r="X19" s="368">
        <f>'Imp-US'!G44</f>
        <v>0</v>
      </c>
      <c r="Y19" s="368">
        <f>'Imp-US'!H44</f>
        <v>0</v>
      </c>
      <c r="Z19" s="368">
        <f>'Imp-US'!I44</f>
        <v>0</v>
      </c>
      <c r="AA19" s="368">
        <f>'Imp-US'!J44</f>
        <v>0</v>
      </c>
      <c r="AB19" s="319">
        <f>'Imp-US'!K44</f>
        <v>0</v>
      </c>
      <c r="AC19" s="347"/>
      <c r="AD19" s="347"/>
      <c r="AE19" s="347"/>
      <c r="AF19" s="347"/>
      <c r="AG19" s="347"/>
      <c r="AH19" s="347"/>
      <c r="AI19" s="347"/>
      <c r="AJ19" s="347"/>
      <c r="AK19" s="348"/>
      <c r="AL19" s="347"/>
      <c r="AM19" s="349"/>
      <c r="AN19" s="350"/>
      <c r="AO19" s="350"/>
      <c r="AP19" s="357"/>
      <c r="AQ19" s="357"/>
      <c r="AR19" s="357"/>
      <c r="AS19" s="357"/>
      <c r="AT19" s="357"/>
      <c r="AU19" s="357"/>
      <c r="AV19" s="357"/>
      <c r="AW19" s="357"/>
    </row>
    <row r="20" spans="1:49" x14ac:dyDescent="0.3">
      <c r="B20" s="377">
        <f>Intro!$E$69</f>
        <v>0</v>
      </c>
      <c r="C20" s="377">
        <f t="shared" si="1"/>
        <v>0</v>
      </c>
      <c r="D20" s="377" t="str">
        <f t="shared" ref="D20:E20" si="4">D19</f>
        <v>2 - Importer</v>
      </c>
      <c r="E20" s="377">
        <f t="shared" si="4"/>
        <v>0</v>
      </c>
      <c r="F20" s="378"/>
      <c r="G20" s="378"/>
      <c r="H20" s="378"/>
      <c r="I20" s="377" t="s">
        <v>655</v>
      </c>
      <c r="J20" s="377" t="s">
        <v>656</v>
      </c>
      <c r="K20" s="377" t="s">
        <v>657</v>
      </c>
      <c r="L20" s="377" t="s">
        <v>658</v>
      </c>
      <c r="M20" s="379"/>
      <c r="N20" s="377" t="s">
        <v>659</v>
      </c>
      <c r="O20" s="380" t="s">
        <v>654</v>
      </c>
      <c r="P20" s="381" t="str">
        <f>P17</f>
        <v>End users  |  Utilisateurs finals</v>
      </c>
      <c r="Q20" s="475" t="str">
        <f t="shared" si="3"/>
        <v>Stamped</v>
      </c>
      <c r="R20" s="369">
        <f>'Imp-US'!G47</f>
        <v>0</v>
      </c>
      <c r="S20" s="370">
        <f>'Imp-US'!H47</f>
        <v>0</v>
      </c>
      <c r="T20" s="370">
        <f>'Imp-US'!I47</f>
        <v>0</v>
      </c>
      <c r="U20" s="370">
        <f>'Imp-US'!J47</f>
        <v>0</v>
      </c>
      <c r="V20" s="370">
        <f>'Imp-US'!K47</f>
        <v>0</v>
      </c>
      <c r="W20" s="370"/>
      <c r="X20" s="370">
        <f>'Imp-US'!G48</f>
        <v>0</v>
      </c>
      <c r="Y20" s="370">
        <f>'Imp-US'!H48</f>
        <v>0</v>
      </c>
      <c r="Z20" s="370">
        <f>'Imp-US'!I48</f>
        <v>0</v>
      </c>
      <c r="AA20" s="370">
        <f>'Imp-US'!J48</f>
        <v>0</v>
      </c>
      <c r="AB20" s="309">
        <f>'Imp-US'!K48</f>
        <v>0</v>
      </c>
      <c r="AC20" s="351"/>
      <c r="AD20" s="351"/>
      <c r="AE20" s="351"/>
      <c r="AF20" s="351"/>
      <c r="AG20" s="351"/>
      <c r="AH20" s="351"/>
      <c r="AI20" s="351"/>
      <c r="AJ20" s="351"/>
      <c r="AK20" s="352"/>
      <c r="AL20" s="351"/>
      <c r="AM20" s="353"/>
      <c r="AN20" s="354"/>
      <c r="AO20" s="350"/>
      <c r="AP20" s="324"/>
      <c r="AQ20" s="324"/>
      <c r="AR20" s="324"/>
      <c r="AS20" s="324"/>
      <c r="AT20" s="324"/>
      <c r="AU20" s="324"/>
      <c r="AV20" s="324"/>
      <c r="AW20" s="324"/>
    </row>
    <row r="21" spans="1:49" x14ac:dyDescent="0.3">
      <c r="B21" s="377">
        <f>Intro!$E$69</f>
        <v>0</v>
      </c>
      <c r="C21" s="377">
        <f t="shared" si="1"/>
        <v>0</v>
      </c>
      <c r="D21" s="377" t="str">
        <f>D20</f>
        <v>2 - Importer</v>
      </c>
      <c r="E21" s="377">
        <f>E20</f>
        <v>0</v>
      </c>
      <c r="F21" s="378"/>
      <c r="G21" s="378"/>
      <c r="H21" s="378"/>
      <c r="I21" s="377" t="s">
        <v>655</v>
      </c>
      <c r="J21" s="377" t="s">
        <v>656</v>
      </c>
      <c r="K21" s="377" t="s">
        <v>657</v>
      </c>
      <c r="L21" s="377" t="s">
        <v>658</v>
      </c>
      <c r="M21" s="379"/>
      <c r="N21" s="377" t="s">
        <v>659</v>
      </c>
      <c r="O21" s="380" t="s">
        <v>654</v>
      </c>
      <c r="P21" s="381" t="str">
        <f>P18</f>
        <v>Others  |  Autres</v>
      </c>
      <c r="Q21" s="475" t="str">
        <f t="shared" si="3"/>
        <v>Stamped</v>
      </c>
      <c r="R21" s="369">
        <f>'Imp-US'!G50</f>
        <v>0</v>
      </c>
      <c r="S21" s="370">
        <f>'Imp-US'!H50</f>
        <v>0</v>
      </c>
      <c r="T21" s="370">
        <f>'Imp-US'!I50</f>
        <v>0</v>
      </c>
      <c r="U21" s="370">
        <f>'Imp-US'!J50</f>
        <v>0</v>
      </c>
      <c r="V21" s="370">
        <f>'Imp-US'!K50</f>
        <v>0</v>
      </c>
      <c r="W21" s="370"/>
      <c r="X21" s="370">
        <f>'Imp-US'!G51</f>
        <v>0</v>
      </c>
      <c r="Y21" s="370">
        <f>'Imp-US'!H51</f>
        <v>0</v>
      </c>
      <c r="Z21" s="370">
        <f>'Imp-US'!I51</f>
        <v>0</v>
      </c>
      <c r="AA21" s="370">
        <f>'Imp-US'!J51</f>
        <v>0</v>
      </c>
      <c r="AB21" s="309">
        <f>'Imp-US'!K51</f>
        <v>0</v>
      </c>
      <c r="AC21" s="351"/>
      <c r="AD21" s="351"/>
      <c r="AE21" s="351"/>
      <c r="AF21" s="351"/>
      <c r="AG21" s="351"/>
      <c r="AH21" s="351"/>
      <c r="AI21" s="351"/>
      <c r="AJ21" s="351"/>
      <c r="AK21" s="352"/>
      <c r="AL21" s="351"/>
      <c r="AM21" s="353"/>
      <c r="AN21" s="354"/>
      <c r="AO21" s="350"/>
      <c r="AP21" s="324"/>
      <c r="AQ21" s="324"/>
      <c r="AR21" s="324"/>
      <c r="AS21" s="324"/>
      <c r="AT21" s="324"/>
      <c r="AU21" s="324"/>
      <c r="AV21" s="324"/>
      <c r="AW21" s="324"/>
    </row>
    <row r="22" spans="1:49" s="302" customFormat="1" x14ac:dyDescent="0.3">
      <c r="B22" s="371">
        <f>Intro!$E$69</f>
        <v>0</v>
      </c>
      <c r="C22" s="371">
        <f t="shared" si="1"/>
        <v>0</v>
      </c>
      <c r="D22" s="371" t="s">
        <v>648</v>
      </c>
      <c r="E22" s="371">
        <f>E16</f>
        <v>0</v>
      </c>
      <c r="F22" s="373"/>
      <c r="G22" s="373"/>
      <c r="H22" s="373"/>
      <c r="I22" s="371" t="s">
        <v>768</v>
      </c>
      <c r="J22" s="371" t="s">
        <v>656</v>
      </c>
      <c r="K22" s="371" t="s">
        <v>657</v>
      </c>
      <c r="L22" s="382" t="s">
        <v>626</v>
      </c>
      <c r="M22" s="383">
        <f>'Imp-Other-Autre'!D23</f>
        <v>0</v>
      </c>
      <c r="N22" s="371" t="s">
        <v>659</v>
      </c>
      <c r="O22" s="375" t="s">
        <v>653</v>
      </c>
      <c r="P22" s="371" t="s">
        <v>623</v>
      </c>
      <c r="Q22" s="301" t="str">
        <f t="shared" si="3"/>
        <v>Stamped</v>
      </c>
      <c r="R22" s="367">
        <f>'Imp-Other-Autre'!G43</f>
        <v>0</v>
      </c>
      <c r="S22" s="368">
        <f>'Imp-Other-Autre'!H43</f>
        <v>0</v>
      </c>
      <c r="T22" s="368">
        <f>'Imp-Other-Autre'!I43</f>
        <v>0</v>
      </c>
      <c r="U22" s="368">
        <f>'Imp-Other-Autre'!J43</f>
        <v>0</v>
      </c>
      <c r="V22" s="368">
        <f>'Imp-Other-Autre'!K43</f>
        <v>0</v>
      </c>
      <c r="W22" s="368"/>
      <c r="X22" s="368">
        <f>'Imp-Other-Autre'!G44</f>
        <v>0</v>
      </c>
      <c r="Y22" s="368">
        <f>'Imp-Other-Autre'!H44</f>
        <v>0</v>
      </c>
      <c r="Z22" s="368">
        <f>'Imp-Other-Autre'!I44</f>
        <v>0</v>
      </c>
      <c r="AA22" s="368">
        <f>'Imp-Other-Autre'!J44</f>
        <v>0</v>
      </c>
      <c r="AB22" s="319">
        <f>'Imp-Other-Autre'!K44</f>
        <v>0</v>
      </c>
      <c r="AC22" s="347"/>
      <c r="AD22" s="347"/>
      <c r="AE22" s="347"/>
      <c r="AF22" s="347"/>
      <c r="AG22" s="347"/>
      <c r="AH22" s="347"/>
      <c r="AI22" s="347"/>
      <c r="AJ22" s="355"/>
      <c r="AK22" s="356"/>
      <c r="AL22" s="347"/>
      <c r="AM22" s="349"/>
      <c r="AN22" s="347"/>
      <c r="AO22" s="350"/>
      <c r="AP22" s="357"/>
      <c r="AQ22" s="357"/>
      <c r="AR22" s="357"/>
      <c r="AS22" s="357"/>
      <c r="AT22" s="357"/>
      <c r="AU22" s="357"/>
      <c r="AV22" s="357"/>
      <c r="AW22" s="357"/>
    </row>
    <row r="23" spans="1:49" x14ac:dyDescent="0.3">
      <c r="B23" s="377">
        <f>Intro!$E$69</f>
        <v>0</v>
      </c>
      <c r="C23" s="377">
        <f t="shared" si="1"/>
        <v>0</v>
      </c>
      <c r="D23" s="377" t="str">
        <f t="shared" ref="D23:E24" si="5">D22</f>
        <v>2 - Importer</v>
      </c>
      <c r="E23" s="377">
        <f t="shared" si="5"/>
        <v>0</v>
      </c>
      <c r="F23" s="378"/>
      <c r="G23" s="378"/>
      <c r="H23" s="378"/>
      <c r="I23" s="377" t="s">
        <v>768</v>
      </c>
      <c r="J23" s="377" t="s">
        <v>656</v>
      </c>
      <c r="K23" s="377" t="s">
        <v>657</v>
      </c>
      <c r="L23" s="384" t="s">
        <v>626</v>
      </c>
      <c r="M23" s="385" t="str">
        <f t="shared" ref="M23:M24" si="6">$G$8</f>
        <v>-</v>
      </c>
      <c r="N23" s="377" t="s">
        <v>659</v>
      </c>
      <c r="O23" s="380" t="s">
        <v>654</v>
      </c>
      <c r="P23" s="386" t="str">
        <f>P17</f>
        <v>End users  |  Utilisateurs finals</v>
      </c>
      <c r="Q23" s="475" t="str">
        <f t="shared" si="3"/>
        <v>Stamped</v>
      </c>
      <c r="R23" s="369">
        <f>'Imp-Other-Autre'!G47</f>
        <v>0</v>
      </c>
      <c r="S23" s="370">
        <f>'Imp-Other-Autre'!H47</f>
        <v>0</v>
      </c>
      <c r="T23" s="370">
        <f>'Imp-Other-Autre'!I47</f>
        <v>0</v>
      </c>
      <c r="U23" s="370">
        <f>'Imp-Other-Autre'!J47</f>
        <v>0</v>
      </c>
      <c r="V23" s="370">
        <f>'Imp-Other-Autre'!K47</f>
        <v>0</v>
      </c>
      <c r="W23" s="370"/>
      <c r="X23" s="370">
        <f>'Imp-Other-Autre'!G48</f>
        <v>0</v>
      </c>
      <c r="Y23" s="370">
        <f>'Imp-Other-Autre'!H48</f>
        <v>0</v>
      </c>
      <c r="Z23" s="370">
        <f>'Imp-Other-Autre'!I48</f>
        <v>0</v>
      </c>
      <c r="AA23" s="370">
        <f>'Imp-Other-Autre'!J48</f>
        <v>0</v>
      </c>
      <c r="AB23" s="309">
        <f>'Imp-Other-Autre'!K48</f>
        <v>0</v>
      </c>
      <c r="AC23" s="351"/>
      <c r="AD23" s="351"/>
      <c r="AE23" s="351"/>
      <c r="AF23" s="351"/>
      <c r="AG23" s="351"/>
      <c r="AH23" s="351"/>
      <c r="AI23" s="351"/>
      <c r="AJ23" s="358"/>
      <c r="AK23" s="359"/>
      <c r="AL23" s="351"/>
      <c r="AM23" s="353"/>
      <c r="AN23" s="351"/>
      <c r="AO23" s="350"/>
      <c r="AP23" s="324"/>
      <c r="AQ23" s="324"/>
      <c r="AR23" s="324"/>
      <c r="AS23" s="324"/>
      <c r="AT23" s="324"/>
      <c r="AU23" s="324"/>
      <c r="AV23" s="324"/>
      <c r="AW23" s="324"/>
    </row>
    <row r="24" spans="1:49" x14ac:dyDescent="0.3">
      <c r="B24" s="377">
        <f>Intro!$E$69</f>
        <v>0</v>
      </c>
      <c r="C24" s="377">
        <f t="shared" si="1"/>
        <v>0</v>
      </c>
      <c r="D24" s="377" t="str">
        <f t="shared" si="5"/>
        <v>2 - Importer</v>
      </c>
      <c r="E24" s="377">
        <f>E23</f>
        <v>0</v>
      </c>
      <c r="F24" s="378"/>
      <c r="G24" s="378"/>
      <c r="H24" s="378"/>
      <c r="I24" s="377" t="s">
        <v>768</v>
      </c>
      <c r="J24" s="377" t="s">
        <v>656</v>
      </c>
      <c r="K24" s="377" t="s">
        <v>657</v>
      </c>
      <c r="L24" s="384" t="s">
        <v>626</v>
      </c>
      <c r="M24" s="385" t="str">
        <f t="shared" si="6"/>
        <v>-</v>
      </c>
      <c r="N24" s="377" t="s">
        <v>659</v>
      </c>
      <c r="O24" s="380" t="s">
        <v>654</v>
      </c>
      <c r="P24" s="386" t="str">
        <f>P18</f>
        <v>Others  |  Autres</v>
      </c>
      <c r="Q24" s="475" t="str">
        <f t="shared" si="3"/>
        <v>Stamped</v>
      </c>
      <c r="R24" s="369">
        <f>'Imp-Other-Autre'!G50</f>
        <v>0</v>
      </c>
      <c r="S24" s="370">
        <f>'Imp-Other-Autre'!H50</f>
        <v>0</v>
      </c>
      <c r="T24" s="370">
        <f>'Imp-Other-Autre'!I50</f>
        <v>0</v>
      </c>
      <c r="U24" s="370">
        <f>'Imp-Other-Autre'!J50</f>
        <v>0</v>
      </c>
      <c r="V24" s="370">
        <f>'Imp-Other-Autre'!K50</f>
        <v>0</v>
      </c>
      <c r="W24" s="370"/>
      <c r="X24" s="370">
        <f>'Imp-Other-Autre'!G51</f>
        <v>0</v>
      </c>
      <c r="Y24" s="370">
        <f>'Imp-Other-Autre'!H51</f>
        <v>0</v>
      </c>
      <c r="Z24" s="370">
        <f>'Imp-Other-Autre'!I51</f>
        <v>0</v>
      </c>
      <c r="AA24" s="370">
        <f>'Imp-Other-Autre'!J51</f>
        <v>0</v>
      </c>
      <c r="AB24" s="309">
        <f>'Imp-Other-Autre'!K51</f>
        <v>0</v>
      </c>
      <c r="AC24" s="351"/>
      <c r="AD24" s="351"/>
      <c r="AE24" s="351"/>
      <c r="AF24" s="351"/>
      <c r="AG24" s="351"/>
      <c r="AH24" s="351"/>
      <c r="AI24" s="351"/>
      <c r="AJ24" s="358"/>
      <c r="AK24" s="359"/>
      <c r="AL24" s="351"/>
      <c r="AM24" s="353"/>
      <c r="AN24" s="351"/>
      <c r="AO24" s="350"/>
      <c r="AP24" s="324"/>
      <c r="AQ24" s="324"/>
      <c r="AR24" s="324"/>
      <c r="AS24" s="324"/>
      <c r="AT24" s="324"/>
      <c r="AU24" s="324"/>
      <c r="AV24" s="324"/>
      <c r="AW24" s="324"/>
    </row>
    <row r="25" spans="1:49" x14ac:dyDescent="0.3">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row>
    <row r="26" spans="1:49" x14ac:dyDescent="0.3">
      <c r="A26" s="324"/>
      <c r="B26" s="858"/>
      <c r="C26" s="858"/>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row>
    <row r="27" spans="1:49" x14ac:dyDescent="0.3">
      <c r="A27" s="324"/>
      <c r="B27" s="858"/>
      <c r="C27" s="858"/>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row>
    <row r="28" spans="1:49" ht="46.5" customHeight="1" x14ac:dyDescent="0.3">
      <c r="A28" s="324"/>
      <c r="B28" s="448"/>
      <c r="C28" s="448"/>
      <c r="D28" s="448"/>
      <c r="E28" s="448"/>
      <c r="F28" s="453"/>
      <c r="G28" s="453"/>
      <c r="H28" s="453"/>
      <c r="I28" s="448"/>
      <c r="J28" s="448"/>
      <c r="K28" s="454"/>
      <c r="L28" s="448"/>
      <c r="M28" s="448"/>
      <c r="N28" s="448"/>
      <c r="O28" s="448"/>
      <c r="P28" s="448"/>
      <c r="Q28" s="448"/>
      <c r="R28" s="455"/>
      <c r="S28" s="455"/>
      <c r="T28" s="455"/>
      <c r="U28" s="455"/>
      <c r="V28" s="455"/>
      <c r="W28" s="455"/>
      <c r="X28" s="455"/>
      <c r="Y28" s="455"/>
      <c r="Z28" s="455"/>
      <c r="AA28" s="455"/>
      <c r="AB28" s="455"/>
      <c r="AC28" s="455"/>
      <c r="AD28" s="455"/>
      <c r="AE28" s="455"/>
      <c r="AF28" s="455"/>
      <c r="AG28" s="455"/>
      <c r="AH28" s="324"/>
      <c r="AI28" s="324"/>
      <c r="AJ28" s="324"/>
      <c r="AK28" s="324"/>
      <c r="AL28" s="324"/>
      <c r="AM28" s="324"/>
    </row>
    <row r="29" spans="1:49" s="302" customFormat="1" x14ac:dyDescent="0.3">
      <c r="A29" s="357"/>
      <c r="B29" s="387"/>
      <c r="C29" s="387"/>
      <c r="D29" s="387"/>
      <c r="E29" s="387"/>
      <c r="F29" s="388"/>
      <c r="G29" s="388"/>
      <c r="H29" s="388"/>
      <c r="I29" s="387"/>
      <c r="J29" s="387"/>
      <c r="K29" s="387"/>
      <c r="L29" s="387"/>
      <c r="M29" s="387"/>
      <c r="N29" s="387"/>
      <c r="O29" s="387"/>
      <c r="P29" s="387"/>
      <c r="Q29" s="387"/>
      <c r="R29" s="389"/>
      <c r="S29" s="389"/>
      <c r="T29" s="389"/>
      <c r="U29" s="389"/>
      <c r="V29" s="389"/>
      <c r="W29" s="389"/>
      <c r="X29" s="389"/>
      <c r="Y29" s="389"/>
      <c r="Z29" s="389"/>
      <c r="AA29" s="389"/>
      <c r="AB29" s="389"/>
      <c r="AC29" s="389"/>
      <c r="AD29" s="389"/>
      <c r="AE29" s="389"/>
      <c r="AF29" s="389"/>
      <c r="AG29" s="389"/>
      <c r="AH29" s="357"/>
      <c r="AI29" s="357"/>
      <c r="AJ29" s="357"/>
      <c r="AK29" s="357"/>
      <c r="AL29" s="357"/>
      <c r="AM29" s="357"/>
    </row>
    <row r="30" spans="1:49" x14ac:dyDescent="0.3">
      <c r="A30" s="324"/>
      <c r="B30" s="387"/>
      <c r="C30" s="387"/>
      <c r="D30" s="390"/>
      <c r="E30" s="387"/>
      <c r="F30" s="391"/>
      <c r="G30" s="391"/>
      <c r="H30" s="391"/>
      <c r="I30" s="390"/>
      <c r="J30" s="390"/>
      <c r="K30" s="390"/>
      <c r="L30" s="390"/>
      <c r="M30" s="390"/>
      <c r="N30" s="390"/>
      <c r="O30" s="390"/>
      <c r="P30" s="390"/>
      <c r="Q30" s="390"/>
      <c r="R30" s="392"/>
      <c r="S30" s="392"/>
      <c r="T30" s="392"/>
      <c r="U30" s="392"/>
      <c r="V30" s="392"/>
      <c r="W30" s="392"/>
      <c r="X30" s="392"/>
      <c r="Y30" s="392"/>
      <c r="Z30" s="392"/>
      <c r="AA30" s="392"/>
      <c r="AB30" s="392"/>
      <c r="AC30" s="392"/>
      <c r="AD30" s="392"/>
      <c r="AE30" s="392"/>
      <c r="AF30" s="392"/>
      <c r="AG30" s="392"/>
      <c r="AH30" s="324"/>
      <c r="AI30" s="324"/>
      <c r="AJ30" s="324"/>
      <c r="AK30" s="324"/>
      <c r="AL30" s="324"/>
      <c r="AM30" s="324"/>
    </row>
    <row r="31" spans="1:49" x14ac:dyDescent="0.3">
      <c r="A31" s="324"/>
      <c r="B31" s="387"/>
      <c r="C31" s="387"/>
      <c r="D31" s="390"/>
      <c r="E31" s="387"/>
      <c r="F31" s="391"/>
      <c r="G31" s="391"/>
      <c r="H31" s="391"/>
      <c r="I31" s="390"/>
      <c r="J31" s="390"/>
      <c r="K31" s="390"/>
      <c r="L31" s="390"/>
      <c r="M31" s="390"/>
      <c r="N31" s="390"/>
      <c r="O31" s="390"/>
      <c r="P31" s="390"/>
      <c r="Q31" s="390"/>
      <c r="R31" s="392"/>
      <c r="S31" s="392"/>
      <c r="T31" s="392"/>
      <c r="U31" s="392"/>
      <c r="V31" s="392"/>
      <c r="W31" s="392"/>
      <c r="X31" s="392"/>
      <c r="Y31" s="392"/>
      <c r="Z31" s="392"/>
      <c r="AA31" s="392"/>
      <c r="AB31" s="392"/>
      <c r="AC31" s="392"/>
      <c r="AD31" s="392"/>
      <c r="AE31" s="392"/>
      <c r="AF31" s="392"/>
      <c r="AG31" s="392"/>
      <c r="AH31" s="324"/>
      <c r="AI31" s="324"/>
      <c r="AJ31" s="324"/>
      <c r="AK31" s="324"/>
      <c r="AL31" s="324"/>
      <c r="AM31" s="324"/>
    </row>
    <row r="32" spans="1:49" x14ac:dyDescent="0.3">
      <c r="A32" s="324"/>
      <c r="B32" s="387"/>
      <c r="C32" s="387"/>
      <c r="D32" s="390"/>
      <c r="E32" s="387"/>
      <c r="F32" s="391"/>
      <c r="G32" s="391"/>
      <c r="H32" s="391"/>
      <c r="I32" s="390"/>
      <c r="J32" s="390"/>
      <c r="K32" s="390"/>
      <c r="L32" s="390"/>
      <c r="M32" s="390"/>
      <c r="N32" s="390"/>
      <c r="O32" s="390"/>
      <c r="P32" s="390"/>
      <c r="Q32" s="390"/>
      <c r="R32" s="392"/>
      <c r="S32" s="392"/>
      <c r="T32" s="392"/>
      <c r="U32" s="392"/>
      <c r="V32" s="392"/>
      <c r="W32" s="392"/>
      <c r="X32" s="392"/>
      <c r="Y32" s="392"/>
      <c r="Z32" s="392"/>
      <c r="AA32" s="392"/>
      <c r="AB32" s="392"/>
      <c r="AC32" s="392"/>
      <c r="AD32" s="392"/>
      <c r="AE32" s="392"/>
      <c r="AF32" s="392"/>
      <c r="AG32" s="392"/>
      <c r="AH32" s="324"/>
      <c r="AI32" s="324"/>
      <c r="AJ32" s="324"/>
      <c r="AK32" s="324"/>
      <c r="AL32" s="324"/>
      <c r="AM32" s="324"/>
    </row>
    <row r="33" spans="1:39" x14ac:dyDescent="0.3">
      <c r="A33" s="324"/>
      <c r="B33" s="387"/>
      <c r="C33" s="387"/>
      <c r="D33" s="390"/>
      <c r="E33" s="387"/>
      <c r="F33" s="391"/>
      <c r="G33" s="391"/>
      <c r="H33" s="391"/>
      <c r="I33" s="390"/>
      <c r="J33" s="390"/>
      <c r="K33" s="390"/>
      <c r="L33" s="390"/>
      <c r="M33" s="390"/>
      <c r="N33" s="390"/>
      <c r="O33" s="390"/>
      <c r="P33" s="390"/>
      <c r="Q33" s="390"/>
      <c r="R33" s="392"/>
      <c r="S33" s="392"/>
      <c r="T33" s="392"/>
      <c r="U33" s="392"/>
      <c r="V33" s="392"/>
      <c r="W33" s="392"/>
      <c r="X33" s="392"/>
      <c r="Y33" s="392"/>
      <c r="Z33" s="392"/>
      <c r="AA33" s="392"/>
      <c r="AB33" s="392"/>
      <c r="AC33" s="392"/>
      <c r="AD33" s="392"/>
      <c r="AE33" s="392"/>
      <c r="AF33" s="392"/>
      <c r="AG33" s="392"/>
      <c r="AH33" s="324"/>
      <c r="AI33" s="324"/>
      <c r="AJ33" s="324"/>
      <c r="AK33" s="324"/>
      <c r="AL33" s="324"/>
      <c r="AM33" s="324"/>
    </row>
    <row r="34" spans="1:39" s="302" customFormat="1" x14ac:dyDescent="0.3">
      <c r="A34" s="357"/>
      <c r="B34" s="387"/>
      <c r="C34" s="387"/>
      <c r="D34" s="387"/>
      <c r="E34" s="387"/>
      <c r="F34" s="388"/>
      <c r="G34" s="388"/>
      <c r="H34" s="388"/>
      <c r="I34" s="387"/>
      <c r="J34" s="387"/>
      <c r="K34" s="387"/>
      <c r="L34" s="387"/>
      <c r="M34" s="387"/>
      <c r="N34" s="387"/>
      <c r="O34" s="387"/>
      <c r="P34" s="387"/>
      <c r="Q34" s="387"/>
      <c r="R34" s="389"/>
      <c r="S34" s="389"/>
      <c r="T34" s="389"/>
      <c r="U34" s="389"/>
      <c r="V34" s="389"/>
      <c r="W34" s="389"/>
      <c r="X34" s="389"/>
      <c r="Y34" s="389"/>
      <c r="Z34" s="389"/>
      <c r="AA34" s="389"/>
      <c r="AB34" s="389"/>
      <c r="AC34" s="389"/>
      <c r="AD34" s="389"/>
      <c r="AE34" s="389"/>
      <c r="AF34" s="389"/>
      <c r="AG34" s="389"/>
      <c r="AH34" s="357"/>
      <c r="AI34" s="357"/>
      <c r="AJ34" s="357"/>
      <c r="AK34" s="357"/>
      <c r="AL34" s="357"/>
      <c r="AM34" s="357"/>
    </row>
    <row r="35" spans="1:39" x14ac:dyDescent="0.3">
      <c r="A35" s="324"/>
      <c r="B35" s="387"/>
      <c r="C35" s="387"/>
      <c r="D35" s="390"/>
      <c r="E35" s="387"/>
      <c r="F35" s="391"/>
      <c r="G35" s="391"/>
      <c r="H35" s="391"/>
      <c r="I35" s="390"/>
      <c r="J35" s="390"/>
      <c r="K35" s="390"/>
      <c r="L35" s="390"/>
      <c r="M35" s="390"/>
      <c r="N35" s="390"/>
      <c r="O35" s="390"/>
      <c r="P35" s="390"/>
      <c r="Q35" s="390"/>
      <c r="R35" s="392"/>
      <c r="S35" s="392"/>
      <c r="T35" s="392"/>
      <c r="U35" s="392"/>
      <c r="V35" s="392"/>
      <c r="W35" s="392"/>
      <c r="X35" s="392"/>
      <c r="Y35" s="392"/>
      <c r="Z35" s="392"/>
      <c r="AA35" s="392"/>
      <c r="AB35" s="392"/>
      <c r="AC35" s="392"/>
      <c r="AD35" s="392"/>
      <c r="AE35" s="392"/>
      <c r="AF35" s="392"/>
      <c r="AG35" s="392"/>
      <c r="AH35" s="324"/>
      <c r="AI35" s="324"/>
      <c r="AJ35" s="324"/>
      <c r="AK35" s="324"/>
      <c r="AL35" s="324"/>
      <c r="AM35" s="324"/>
    </row>
    <row r="36" spans="1:39" x14ac:dyDescent="0.3">
      <c r="A36" s="324"/>
      <c r="B36" s="387"/>
      <c r="C36" s="387"/>
      <c r="D36" s="390"/>
      <c r="E36" s="387"/>
      <c r="F36" s="391"/>
      <c r="G36" s="391"/>
      <c r="H36" s="391"/>
      <c r="I36" s="390"/>
      <c r="J36" s="390"/>
      <c r="K36" s="390"/>
      <c r="L36" s="390"/>
      <c r="M36" s="390"/>
      <c r="N36" s="390"/>
      <c r="O36" s="390"/>
      <c r="P36" s="390"/>
      <c r="Q36" s="390"/>
      <c r="R36" s="392"/>
      <c r="S36" s="392"/>
      <c r="T36" s="392"/>
      <c r="U36" s="392"/>
      <c r="V36" s="392"/>
      <c r="W36" s="392"/>
      <c r="X36" s="392"/>
      <c r="Y36" s="392"/>
      <c r="Z36" s="392"/>
      <c r="AA36" s="392"/>
      <c r="AB36" s="392"/>
      <c r="AC36" s="392"/>
      <c r="AD36" s="392"/>
      <c r="AE36" s="392"/>
      <c r="AF36" s="392"/>
      <c r="AG36" s="392"/>
      <c r="AH36" s="324"/>
      <c r="AI36" s="324"/>
      <c r="AJ36" s="324"/>
      <c r="AK36" s="324"/>
      <c r="AL36" s="324"/>
      <c r="AM36" s="324"/>
    </row>
    <row r="37" spans="1:39" x14ac:dyDescent="0.3">
      <c r="A37" s="324"/>
      <c r="B37" s="387"/>
      <c r="C37" s="387"/>
      <c r="D37" s="390"/>
      <c r="E37" s="387"/>
      <c r="F37" s="391"/>
      <c r="G37" s="391"/>
      <c r="H37" s="391"/>
      <c r="I37" s="390"/>
      <c r="J37" s="390"/>
      <c r="K37" s="390"/>
      <c r="L37" s="390"/>
      <c r="M37" s="390"/>
      <c r="N37" s="390"/>
      <c r="O37" s="390"/>
      <c r="P37" s="390"/>
      <c r="Q37" s="390"/>
      <c r="R37" s="392"/>
      <c r="S37" s="392"/>
      <c r="T37" s="392"/>
      <c r="U37" s="392"/>
      <c r="V37" s="392"/>
      <c r="W37" s="392"/>
      <c r="X37" s="392"/>
      <c r="Y37" s="392"/>
      <c r="Z37" s="392"/>
      <c r="AA37" s="392"/>
      <c r="AB37" s="392"/>
      <c r="AC37" s="392"/>
      <c r="AD37" s="392"/>
      <c r="AE37" s="392"/>
      <c r="AF37" s="392"/>
      <c r="AG37" s="392"/>
      <c r="AH37" s="324"/>
      <c r="AI37" s="324"/>
      <c r="AJ37" s="324"/>
      <c r="AK37" s="324"/>
      <c r="AL37" s="324"/>
      <c r="AM37" s="324"/>
    </row>
    <row r="38" spans="1:39" x14ac:dyDescent="0.3">
      <c r="A38" s="324"/>
      <c r="B38" s="387"/>
      <c r="C38" s="387"/>
      <c r="D38" s="390"/>
      <c r="E38" s="387"/>
      <c r="F38" s="391"/>
      <c r="G38" s="391"/>
      <c r="H38" s="391"/>
      <c r="I38" s="390"/>
      <c r="J38" s="390"/>
      <c r="K38" s="390"/>
      <c r="L38" s="390"/>
      <c r="M38" s="390"/>
      <c r="N38" s="390"/>
      <c r="O38" s="390"/>
      <c r="P38" s="390"/>
      <c r="Q38" s="390"/>
      <c r="R38" s="392"/>
      <c r="S38" s="392"/>
      <c r="T38" s="392"/>
      <c r="U38" s="392"/>
      <c r="V38" s="392"/>
      <c r="W38" s="392"/>
      <c r="X38" s="392"/>
      <c r="Y38" s="392"/>
      <c r="Z38" s="392"/>
      <c r="AA38" s="392"/>
      <c r="AB38" s="392"/>
      <c r="AC38" s="392"/>
      <c r="AD38" s="392"/>
      <c r="AE38" s="392"/>
      <c r="AF38" s="392"/>
      <c r="AG38" s="392"/>
      <c r="AH38" s="324"/>
      <c r="AI38" s="324"/>
      <c r="AJ38" s="324"/>
      <c r="AK38" s="324"/>
      <c r="AL38" s="324"/>
      <c r="AM38" s="324"/>
    </row>
    <row r="39" spans="1:39" s="302" customFormat="1" x14ac:dyDescent="0.3">
      <c r="A39" s="357"/>
      <c r="B39" s="387"/>
      <c r="C39" s="387"/>
      <c r="D39" s="387"/>
      <c r="E39" s="387"/>
      <c r="F39" s="388"/>
      <c r="G39" s="388"/>
      <c r="H39" s="388"/>
      <c r="I39" s="387"/>
      <c r="J39" s="387"/>
      <c r="K39" s="387"/>
      <c r="L39" s="387"/>
      <c r="M39" s="387"/>
      <c r="N39" s="387"/>
      <c r="O39" s="387"/>
      <c r="P39" s="387"/>
      <c r="Q39" s="387"/>
      <c r="R39" s="389"/>
      <c r="S39" s="389"/>
      <c r="T39" s="389"/>
      <c r="U39" s="389"/>
      <c r="V39" s="389"/>
      <c r="W39" s="389"/>
      <c r="X39" s="389"/>
      <c r="Y39" s="389"/>
      <c r="Z39" s="389"/>
      <c r="AA39" s="389"/>
      <c r="AB39" s="389"/>
      <c r="AC39" s="389"/>
      <c r="AD39" s="389"/>
      <c r="AE39" s="389"/>
      <c r="AF39" s="389"/>
      <c r="AG39" s="389"/>
      <c r="AH39" s="357"/>
      <c r="AI39" s="357"/>
      <c r="AJ39" s="357"/>
      <c r="AK39" s="357"/>
      <c r="AL39" s="357"/>
      <c r="AM39" s="357"/>
    </row>
    <row r="40" spans="1:39" x14ac:dyDescent="0.3">
      <c r="A40" s="324"/>
      <c r="B40" s="387"/>
      <c r="C40" s="387"/>
      <c r="D40" s="390"/>
      <c r="E40" s="387"/>
      <c r="F40" s="391"/>
      <c r="G40" s="391"/>
      <c r="H40" s="391"/>
      <c r="I40" s="390"/>
      <c r="J40" s="390"/>
      <c r="K40" s="390"/>
      <c r="L40" s="390"/>
      <c r="M40" s="390"/>
      <c r="N40" s="390"/>
      <c r="O40" s="390"/>
      <c r="P40" s="390"/>
      <c r="Q40" s="390"/>
      <c r="R40" s="392"/>
      <c r="S40" s="392"/>
      <c r="T40" s="392"/>
      <c r="U40" s="392"/>
      <c r="V40" s="392"/>
      <c r="W40" s="392"/>
      <c r="X40" s="392"/>
      <c r="Y40" s="392"/>
      <c r="Z40" s="392"/>
      <c r="AA40" s="392"/>
      <c r="AB40" s="392"/>
      <c r="AC40" s="392"/>
      <c r="AD40" s="392"/>
      <c r="AE40" s="392"/>
      <c r="AF40" s="392"/>
      <c r="AG40" s="392"/>
      <c r="AH40" s="324"/>
      <c r="AI40" s="324"/>
      <c r="AJ40" s="324"/>
      <c r="AK40" s="324"/>
      <c r="AL40" s="324"/>
      <c r="AM40" s="324"/>
    </row>
    <row r="41" spans="1:39" x14ac:dyDescent="0.3">
      <c r="A41" s="324"/>
      <c r="B41" s="387"/>
      <c r="C41" s="387"/>
      <c r="D41" s="390"/>
      <c r="E41" s="387"/>
      <c r="F41" s="391"/>
      <c r="G41" s="391"/>
      <c r="H41" s="391"/>
      <c r="I41" s="390"/>
      <c r="J41" s="390"/>
      <c r="K41" s="390"/>
      <c r="L41" s="390"/>
      <c r="M41" s="390"/>
      <c r="N41" s="390"/>
      <c r="O41" s="390"/>
      <c r="P41" s="390"/>
      <c r="Q41" s="390"/>
      <c r="R41" s="392"/>
      <c r="S41" s="392"/>
      <c r="T41" s="392"/>
      <c r="U41" s="392"/>
      <c r="V41" s="392"/>
      <c r="W41" s="392"/>
      <c r="X41" s="392"/>
      <c r="Y41" s="392"/>
      <c r="Z41" s="392"/>
      <c r="AA41" s="392"/>
      <c r="AB41" s="392"/>
      <c r="AC41" s="392"/>
      <c r="AD41" s="392"/>
      <c r="AE41" s="392"/>
      <c r="AF41" s="392"/>
      <c r="AG41" s="392"/>
      <c r="AH41" s="324"/>
      <c r="AI41" s="324"/>
      <c r="AJ41" s="324"/>
      <c r="AK41" s="324"/>
      <c r="AL41" s="324"/>
      <c r="AM41" s="324"/>
    </row>
    <row r="42" spans="1:39" x14ac:dyDescent="0.3">
      <c r="A42" s="324"/>
      <c r="B42" s="387"/>
      <c r="C42" s="387"/>
      <c r="D42" s="390"/>
      <c r="E42" s="387"/>
      <c r="F42" s="391"/>
      <c r="G42" s="391"/>
      <c r="H42" s="391"/>
      <c r="I42" s="390"/>
      <c r="J42" s="390"/>
      <c r="K42" s="390"/>
      <c r="L42" s="390"/>
      <c r="M42" s="390"/>
      <c r="N42" s="390"/>
      <c r="O42" s="390"/>
      <c r="P42" s="390"/>
      <c r="Q42" s="390"/>
      <c r="R42" s="392"/>
      <c r="S42" s="392"/>
      <c r="T42" s="392"/>
      <c r="U42" s="392"/>
      <c r="V42" s="392"/>
      <c r="W42" s="392"/>
      <c r="X42" s="392"/>
      <c r="Y42" s="392"/>
      <c r="Z42" s="392"/>
      <c r="AA42" s="392"/>
      <c r="AB42" s="392"/>
      <c r="AC42" s="392"/>
      <c r="AD42" s="392"/>
      <c r="AE42" s="392"/>
      <c r="AF42" s="392"/>
      <c r="AG42" s="392"/>
      <c r="AH42" s="324"/>
      <c r="AI42" s="324"/>
      <c r="AJ42" s="324"/>
      <c r="AK42" s="324"/>
      <c r="AL42" s="324"/>
      <c r="AM42" s="324"/>
    </row>
    <row r="43" spans="1:39" x14ac:dyDescent="0.3">
      <c r="A43" s="324"/>
      <c r="B43" s="387"/>
      <c r="C43" s="387"/>
      <c r="D43" s="390"/>
      <c r="E43" s="387"/>
      <c r="F43" s="391"/>
      <c r="G43" s="391"/>
      <c r="H43" s="391"/>
      <c r="I43" s="390"/>
      <c r="J43" s="390"/>
      <c r="K43" s="390"/>
      <c r="L43" s="390"/>
      <c r="M43" s="390"/>
      <c r="N43" s="390"/>
      <c r="O43" s="390"/>
      <c r="P43" s="390"/>
      <c r="Q43" s="390"/>
      <c r="R43" s="392"/>
      <c r="S43" s="392"/>
      <c r="T43" s="392"/>
      <c r="U43" s="392"/>
      <c r="V43" s="392"/>
      <c r="W43" s="392"/>
      <c r="X43" s="392"/>
      <c r="Y43" s="392"/>
      <c r="Z43" s="392"/>
      <c r="AA43" s="392"/>
      <c r="AB43" s="392"/>
      <c r="AC43" s="392"/>
      <c r="AD43" s="392"/>
      <c r="AE43" s="392"/>
      <c r="AF43" s="392"/>
      <c r="AG43" s="392"/>
      <c r="AH43" s="324"/>
      <c r="AI43" s="324"/>
      <c r="AJ43" s="324"/>
      <c r="AK43" s="324"/>
      <c r="AL43" s="324"/>
      <c r="AM43" s="324"/>
    </row>
    <row r="44" spans="1:39" s="302" customFormat="1" x14ac:dyDescent="0.3">
      <c r="A44" s="357"/>
      <c r="B44" s="387"/>
      <c r="C44" s="387"/>
      <c r="D44" s="387"/>
      <c r="E44" s="387"/>
      <c r="F44" s="388"/>
      <c r="G44" s="388"/>
      <c r="H44" s="388"/>
      <c r="I44" s="387"/>
      <c r="J44" s="387"/>
      <c r="K44" s="387"/>
      <c r="L44" s="387"/>
      <c r="M44" s="387"/>
      <c r="N44" s="387"/>
      <c r="O44" s="387"/>
      <c r="P44" s="387"/>
      <c r="Q44" s="387"/>
      <c r="R44" s="389"/>
      <c r="S44" s="389"/>
      <c r="T44" s="389"/>
      <c r="U44" s="389"/>
      <c r="V44" s="389"/>
      <c r="W44" s="389"/>
      <c r="X44" s="389"/>
      <c r="Y44" s="389"/>
      <c r="Z44" s="389"/>
      <c r="AA44" s="389"/>
      <c r="AB44" s="389"/>
      <c r="AC44" s="389"/>
      <c r="AD44" s="389"/>
      <c r="AE44" s="389"/>
      <c r="AF44" s="389"/>
      <c r="AG44" s="389"/>
      <c r="AH44" s="357"/>
      <c r="AI44" s="357"/>
      <c r="AJ44" s="357"/>
      <c r="AK44" s="357"/>
      <c r="AL44" s="357"/>
      <c r="AM44" s="357"/>
    </row>
    <row r="45" spans="1:39" x14ac:dyDescent="0.3">
      <c r="A45" s="324"/>
      <c r="B45" s="387"/>
      <c r="C45" s="387"/>
      <c r="D45" s="390"/>
      <c r="E45" s="387"/>
      <c r="F45" s="391"/>
      <c r="G45" s="391"/>
      <c r="H45" s="391"/>
      <c r="I45" s="390"/>
      <c r="J45" s="390"/>
      <c r="K45" s="390"/>
      <c r="L45" s="390"/>
      <c r="M45" s="390"/>
      <c r="N45" s="390"/>
      <c r="O45" s="390"/>
      <c r="P45" s="390"/>
      <c r="Q45" s="390"/>
      <c r="R45" s="392"/>
      <c r="S45" s="392"/>
      <c r="T45" s="392"/>
      <c r="U45" s="392"/>
      <c r="V45" s="392"/>
      <c r="W45" s="392"/>
      <c r="X45" s="392"/>
      <c r="Y45" s="392"/>
      <c r="Z45" s="392"/>
      <c r="AA45" s="392"/>
      <c r="AB45" s="392"/>
      <c r="AC45" s="392"/>
      <c r="AD45" s="392"/>
      <c r="AE45" s="392"/>
      <c r="AF45" s="392"/>
      <c r="AG45" s="392"/>
      <c r="AH45" s="324"/>
      <c r="AI45" s="324"/>
      <c r="AJ45" s="324"/>
      <c r="AK45" s="324"/>
      <c r="AL45" s="324"/>
      <c r="AM45" s="324"/>
    </row>
    <row r="46" spans="1:39" x14ac:dyDescent="0.3">
      <c r="A46" s="324"/>
      <c r="B46" s="387"/>
      <c r="C46" s="387"/>
      <c r="D46" s="390"/>
      <c r="E46" s="387"/>
      <c r="F46" s="391"/>
      <c r="G46" s="391"/>
      <c r="H46" s="391"/>
      <c r="I46" s="390"/>
      <c r="J46" s="390"/>
      <c r="K46" s="390"/>
      <c r="L46" s="390"/>
      <c r="M46" s="390"/>
      <c r="N46" s="390"/>
      <c r="O46" s="390"/>
      <c r="P46" s="390"/>
      <c r="Q46" s="390"/>
      <c r="R46" s="392"/>
      <c r="S46" s="392"/>
      <c r="T46" s="392"/>
      <c r="U46" s="392"/>
      <c r="V46" s="392"/>
      <c r="W46" s="392"/>
      <c r="X46" s="392"/>
      <c r="Y46" s="392"/>
      <c r="Z46" s="392"/>
      <c r="AA46" s="392"/>
      <c r="AB46" s="392"/>
      <c r="AC46" s="392"/>
      <c r="AD46" s="392"/>
      <c r="AE46" s="392"/>
      <c r="AF46" s="392"/>
      <c r="AG46" s="392"/>
      <c r="AH46" s="324"/>
      <c r="AI46" s="324"/>
      <c r="AJ46" s="324"/>
      <c r="AK46" s="324"/>
      <c r="AL46" s="324"/>
      <c r="AM46" s="324"/>
    </row>
    <row r="47" spans="1:39" x14ac:dyDescent="0.3">
      <c r="A47" s="324"/>
      <c r="B47" s="387"/>
      <c r="C47" s="387"/>
      <c r="D47" s="390"/>
      <c r="E47" s="387"/>
      <c r="F47" s="391"/>
      <c r="G47" s="391"/>
      <c r="H47" s="391"/>
      <c r="I47" s="390"/>
      <c r="J47" s="390"/>
      <c r="K47" s="390"/>
      <c r="L47" s="390"/>
      <c r="M47" s="390"/>
      <c r="N47" s="390"/>
      <c r="O47" s="390"/>
      <c r="P47" s="390"/>
      <c r="Q47" s="390"/>
      <c r="R47" s="392"/>
      <c r="S47" s="392"/>
      <c r="T47" s="392"/>
      <c r="U47" s="392"/>
      <c r="V47" s="392"/>
      <c r="W47" s="392"/>
      <c r="X47" s="392"/>
      <c r="Y47" s="392"/>
      <c r="Z47" s="392"/>
      <c r="AA47" s="392"/>
      <c r="AB47" s="392"/>
      <c r="AC47" s="392"/>
      <c r="AD47" s="392"/>
      <c r="AE47" s="392"/>
      <c r="AF47" s="392"/>
      <c r="AG47" s="392"/>
      <c r="AH47" s="324"/>
      <c r="AI47" s="324"/>
      <c r="AJ47" s="324"/>
      <c r="AK47" s="324"/>
      <c r="AL47" s="324"/>
      <c r="AM47" s="324"/>
    </row>
    <row r="48" spans="1:39" x14ac:dyDescent="0.3">
      <c r="A48" s="324"/>
      <c r="B48" s="387"/>
      <c r="C48" s="387"/>
      <c r="D48" s="390"/>
      <c r="E48" s="387"/>
      <c r="F48" s="391"/>
      <c r="G48" s="391"/>
      <c r="H48" s="391"/>
      <c r="I48" s="390"/>
      <c r="J48" s="390"/>
      <c r="K48" s="390"/>
      <c r="L48" s="390"/>
      <c r="M48" s="390"/>
      <c r="N48" s="390"/>
      <c r="O48" s="390"/>
      <c r="P48" s="390"/>
      <c r="Q48" s="390"/>
      <c r="R48" s="392"/>
      <c r="S48" s="392"/>
      <c r="T48" s="392"/>
      <c r="U48" s="392"/>
      <c r="V48" s="392"/>
      <c r="W48" s="392"/>
      <c r="X48" s="392"/>
      <c r="Y48" s="392"/>
      <c r="Z48" s="392"/>
      <c r="AA48" s="392"/>
      <c r="AB48" s="392"/>
      <c r="AC48" s="392"/>
      <c r="AD48" s="392"/>
      <c r="AE48" s="392"/>
      <c r="AF48" s="392"/>
      <c r="AG48" s="392"/>
      <c r="AH48" s="324"/>
      <c r="AI48" s="324"/>
      <c r="AJ48" s="324"/>
      <c r="AK48" s="324"/>
      <c r="AL48" s="324"/>
      <c r="AM48" s="324"/>
    </row>
    <row r="49" spans="1:39" s="302" customFormat="1" x14ac:dyDescent="0.3">
      <c r="A49" s="357"/>
      <c r="B49" s="387"/>
      <c r="C49" s="387"/>
      <c r="D49" s="387"/>
      <c r="E49" s="387"/>
      <c r="F49" s="388"/>
      <c r="G49" s="388"/>
      <c r="H49" s="388"/>
      <c r="I49" s="387"/>
      <c r="J49" s="387"/>
      <c r="K49" s="387"/>
      <c r="L49" s="387"/>
      <c r="M49" s="387"/>
      <c r="N49" s="387"/>
      <c r="O49" s="387"/>
      <c r="P49" s="387"/>
      <c r="Q49" s="387"/>
      <c r="R49" s="389"/>
      <c r="S49" s="389"/>
      <c r="T49" s="389"/>
      <c r="U49" s="389"/>
      <c r="V49" s="389"/>
      <c r="W49" s="389"/>
      <c r="X49" s="389"/>
      <c r="Y49" s="389"/>
      <c r="Z49" s="389"/>
      <c r="AA49" s="389"/>
      <c r="AB49" s="389"/>
      <c r="AC49" s="389"/>
      <c r="AD49" s="389"/>
      <c r="AE49" s="389"/>
      <c r="AF49" s="389"/>
      <c r="AG49" s="389"/>
      <c r="AH49" s="357"/>
      <c r="AI49" s="357"/>
      <c r="AJ49" s="357"/>
      <c r="AK49" s="357"/>
      <c r="AL49" s="357"/>
      <c r="AM49" s="357"/>
    </row>
    <row r="50" spans="1:39" x14ac:dyDescent="0.3">
      <c r="A50" s="324"/>
      <c r="B50" s="387"/>
      <c r="C50" s="387"/>
      <c r="D50" s="390"/>
      <c r="E50" s="387"/>
      <c r="F50" s="391"/>
      <c r="G50" s="391"/>
      <c r="H50" s="391"/>
      <c r="I50" s="390"/>
      <c r="J50" s="390"/>
      <c r="K50" s="390"/>
      <c r="L50" s="390"/>
      <c r="M50" s="390"/>
      <c r="N50" s="390"/>
      <c r="O50" s="390"/>
      <c r="P50" s="390"/>
      <c r="Q50" s="390"/>
      <c r="R50" s="392"/>
      <c r="S50" s="392"/>
      <c r="T50" s="392"/>
      <c r="U50" s="392"/>
      <c r="V50" s="392"/>
      <c r="W50" s="392"/>
      <c r="X50" s="392"/>
      <c r="Y50" s="392"/>
      <c r="Z50" s="392"/>
      <c r="AA50" s="392"/>
      <c r="AB50" s="392"/>
      <c r="AC50" s="392"/>
      <c r="AD50" s="392"/>
      <c r="AE50" s="392"/>
      <c r="AF50" s="392"/>
      <c r="AG50" s="392"/>
      <c r="AH50" s="324"/>
      <c r="AI50" s="324"/>
      <c r="AJ50" s="324"/>
      <c r="AK50" s="324"/>
      <c r="AL50" s="324"/>
      <c r="AM50" s="324"/>
    </row>
    <row r="51" spans="1:39" x14ac:dyDescent="0.3">
      <c r="A51" s="324"/>
      <c r="B51" s="387"/>
      <c r="C51" s="387"/>
      <c r="D51" s="390"/>
      <c r="E51" s="387"/>
      <c r="F51" s="391"/>
      <c r="G51" s="391"/>
      <c r="H51" s="391"/>
      <c r="I51" s="390"/>
      <c r="J51" s="390"/>
      <c r="K51" s="390"/>
      <c r="L51" s="390"/>
      <c r="M51" s="390"/>
      <c r="N51" s="390"/>
      <c r="O51" s="390"/>
      <c r="P51" s="390"/>
      <c r="Q51" s="390"/>
      <c r="R51" s="392"/>
      <c r="S51" s="392"/>
      <c r="T51" s="392"/>
      <c r="U51" s="392"/>
      <c r="V51" s="392"/>
      <c r="W51" s="392"/>
      <c r="X51" s="392"/>
      <c r="Y51" s="392"/>
      <c r="Z51" s="392"/>
      <c r="AA51" s="392"/>
      <c r="AB51" s="392"/>
      <c r="AC51" s="392"/>
      <c r="AD51" s="392"/>
      <c r="AE51" s="392"/>
      <c r="AF51" s="392"/>
      <c r="AG51" s="392"/>
      <c r="AH51" s="324"/>
      <c r="AI51" s="324"/>
      <c r="AJ51" s="324"/>
      <c r="AK51" s="324"/>
      <c r="AL51" s="324"/>
      <c r="AM51" s="324"/>
    </row>
    <row r="52" spans="1:39" x14ac:dyDescent="0.3">
      <c r="A52" s="324"/>
      <c r="B52" s="387"/>
      <c r="C52" s="387"/>
      <c r="D52" s="390"/>
      <c r="E52" s="387"/>
      <c r="F52" s="391"/>
      <c r="G52" s="391"/>
      <c r="H52" s="391"/>
      <c r="I52" s="390"/>
      <c r="J52" s="390"/>
      <c r="K52" s="390"/>
      <c r="L52" s="390"/>
      <c r="M52" s="390"/>
      <c r="N52" s="390"/>
      <c r="O52" s="390"/>
      <c r="P52" s="390"/>
      <c r="Q52" s="390"/>
      <c r="R52" s="392"/>
      <c r="S52" s="392"/>
      <c r="T52" s="392"/>
      <c r="U52" s="392"/>
      <c r="V52" s="392"/>
      <c r="W52" s="392"/>
      <c r="X52" s="392"/>
      <c r="Y52" s="392"/>
      <c r="Z52" s="392"/>
      <c r="AA52" s="392"/>
      <c r="AB52" s="392"/>
      <c r="AC52" s="392"/>
      <c r="AD52" s="392"/>
      <c r="AE52" s="392"/>
      <c r="AF52" s="392"/>
      <c r="AG52" s="392"/>
      <c r="AH52" s="324"/>
      <c r="AI52" s="324"/>
      <c r="AJ52" s="324"/>
      <c r="AK52" s="324"/>
      <c r="AL52" s="324"/>
      <c r="AM52" s="324"/>
    </row>
    <row r="53" spans="1:39" x14ac:dyDescent="0.3">
      <c r="A53" s="324"/>
      <c r="B53" s="387"/>
      <c r="C53" s="387"/>
      <c r="D53" s="390"/>
      <c r="E53" s="387"/>
      <c r="F53" s="391"/>
      <c r="G53" s="391"/>
      <c r="H53" s="391"/>
      <c r="I53" s="390"/>
      <c r="J53" s="390"/>
      <c r="K53" s="390"/>
      <c r="L53" s="390"/>
      <c r="M53" s="390"/>
      <c r="N53" s="390"/>
      <c r="O53" s="390"/>
      <c r="P53" s="390"/>
      <c r="Q53" s="390"/>
      <c r="R53" s="392"/>
      <c r="S53" s="392"/>
      <c r="T53" s="392"/>
      <c r="U53" s="392"/>
      <c r="V53" s="392"/>
      <c r="W53" s="392"/>
      <c r="X53" s="392"/>
      <c r="Y53" s="392"/>
      <c r="Z53" s="392"/>
      <c r="AA53" s="392"/>
      <c r="AB53" s="392"/>
      <c r="AC53" s="392"/>
      <c r="AD53" s="392"/>
      <c r="AE53" s="392"/>
      <c r="AF53" s="392"/>
      <c r="AG53" s="392"/>
      <c r="AH53" s="324"/>
      <c r="AI53" s="324"/>
      <c r="AJ53" s="324"/>
      <c r="AK53" s="324"/>
      <c r="AL53" s="324"/>
      <c r="AM53" s="324"/>
    </row>
    <row r="54" spans="1:39" s="302" customFormat="1" x14ac:dyDescent="0.3">
      <c r="A54" s="357"/>
      <c r="B54" s="387"/>
      <c r="C54" s="387"/>
      <c r="D54" s="387"/>
      <c r="E54" s="387"/>
      <c r="F54" s="388"/>
      <c r="G54" s="388"/>
      <c r="H54" s="388"/>
      <c r="I54" s="387"/>
      <c r="J54" s="387"/>
      <c r="K54" s="387"/>
      <c r="L54" s="387"/>
      <c r="M54" s="387"/>
      <c r="N54" s="387"/>
      <c r="O54" s="387"/>
      <c r="P54" s="387"/>
      <c r="Q54" s="387"/>
      <c r="R54" s="389"/>
      <c r="S54" s="389"/>
      <c r="T54" s="389"/>
      <c r="U54" s="389"/>
      <c r="V54" s="389"/>
      <c r="W54" s="389"/>
      <c r="X54" s="389"/>
      <c r="Y54" s="389"/>
      <c r="Z54" s="389"/>
      <c r="AA54" s="389"/>
      <c r="AB54" s="389"/>
      <c r="AC54" s="389"/>
      <c r="AD54" s="389"/>
      <c r="AE54" s="389"/>
      <c r="AF54" s="389"/>
      <c r="AG54" s="389"/>
      <c r="AH54" s="357"/>
      <c r="AI54" s="357"/>
      <c r="AJ54" s="357"/>
      <c r="AK54" s="357"/>
      <c r="AL54" s="357"/>
      <c r="AM54" s="357"/>
    </row>
    <row r="55" spans="1:39" x14ac:dyDescent="0.3">
      <c r="A55" s="324"/>
      <c r="B55" s="387"/>
      <c r="C55" s="387"/>
      <c r="D55" s="390"/>
      <c r="E55" s="387"/>
      <c r="F55" s="391"/>
      <c r="G55" s="391"/>
      <c r="H55" s="391"/>
      <c r="I55" s="390"/>
      <c r="J55" s="390"/>
      <c r="K55" s="390"/>
      <c r="L55" s="390"/>
      <c r="M55" s="390"/>
      <c r="N55" s="390"/>
      <c r="O55" s="390"/>
      <c r="P55" s="390"/>
      <c r="Q55" s="390"/>
      <c r="R55" s="392"/>
      <c r="S55" s="392"/>
      <c r="T55" s="392"/>
      <c r="U55" s="392"/>
      <c r="V55" s="392"/>
      <c r="W55" s="392"/>
      <c r="X55" s="392"/>
      <c r="Y55" s="392"/>
      <c r="Z55" s="392"/>
      <c r="AA55" s="392"/>
      <c r="AB55" s="392"/>
      <c r="AC55" s="392"/>
      <c r="AD55" s="392"/>
      <c r="AE55" s="392"/>
      <c r="AF55" s="392"/>
      <c r="AG55" s="392"/>
      <c r="AH55" s="324"/>
      <c r="AI55" s="324"/>
      <c r="AJ55" s="324"/>
      <c r="AK55" s="324"/>
      <c r="AL55" s="324"/>
      <c r="AM55" s="324"/>
    </row>
    <row r="56" spans="1:39" x14ac:dyDescent="0.3">
      <c r="A56" s="324"/>
      <c r="B56" s="387"/>
      <c r="C56" s="387"/>
      <c r="D56" s="390"/>
      <c r="E56" s="387"/>
      <c r="F56" s="391"/>
      <c r="G56" s="391"/>
      <c r="H56" s="391"/>
      <c r="I56" s="390"/>
      <c r="J56" s="390"/>
      <c r="K56" s="390"/>
      <c r="L56" s="390"/>
      <c r="M56" s="390"/>
      <c r="N56" s="390"/>
      <c r="O56" s="390"/>
      <c r="P56" s="390"/>
      <c r="Q56" s="390"/>
      <c r="R56" s="392"/>
      <c r="S56" s="392"/>
      <c r="T56" s="392"/>
      <c r="U56" s="392"/>
      <c r="V56" s="392"/>
      <c r="W56" s="392"/>
      <c r="X56" s="392"/>
      <c r="Y56" s="392"/>
      <c r="Z56" s="392"/>
      <c r="AA56" s="392"/>
      <c r="AB56" s="392"/>
      <c r="AC56" s="392"/>
      <c r="AD56" s="392"/>
      <c r="AE56" s="392"/>
      <c r="AF56" s="392"/>
      <c r="AG56" s="392"/>
      <c r="AH56" s="324"/>
      <c r="AI56" s="324"/>
      <c r="AJ56" s="324"/>
      <c r="AK56" s="324"/>
      <c r="AL56" s="324"/>
      <c r="AM56" s="324"/>
    </row>
    <row r="57" spans="1:39" x14ac:dyDescent="0.3">
      <c r="A57" s="324"/>
      <c r="B57" s="387"/>
      <c r="C57" s="387"/>
      <c r="D57" s="390"/>
      <c r="E57" s="387"/>
      <c r="F57" s="391"/>
      <c r="G57" s="391"/>
      <c r="H57" s="391"/>
      <c r="I57" s="390"/>
      <c r="J57" s="390"/>
      <c r="K57" s="390"/>
      <c r="L57" s="390"/>
      <c r="M57" s="390"/>
      <c r="N57" s="390"/>
      <c r="O57" s="390"/>
      <c r="P57" s="390"/>
      <c r="Q57" s="390"/>
      <c r="R57" s="392"/>
      <c r="S57" s="392"/>
      <c r="T57" s="392"/>
      <c r="U57" s="392"/>
      <c r="V57" s="392"/>
      <c r="W57" s="392"/>
      <c r="X57" s="392"/>
      <c r="Y57" s="392"/>
      <c r="Z57" s="392"/>
      <c r="AA57" s="392"/>
      <c r="AB57" s="392"/>
      <c r="AC57" s="392"/>
      <c r="AD57" s="392"/>
      <c r="AE57" s="392"/>
      <c r="AF57" s="392"/>
      <c r="AG57" s="392"/>
      <c r="AH57" s="324"/>
      <c r="AI57" s="324"/>
      <c r="AJ57" s="324"/>
      <c r="AK57" s="324"/>
      <c r="AL57" s="324"/>
      <c r="AM57" s="324"/>
    </row>
    <row r="58" spans="1:39" x14ac:dyDescent="0.3">
      <c r="A58" s="324"/>
      <c r="B58" s="387"/>
      <c r="C58" s="387"/>
      <c r="D58" s="390"/>
      <c r="E58" s="387"/>
      <c r="F58" s="391"/>
      <c r="G58" s="391"/>
      <c r="H58" s="391"/>
      <c r="I58" s="390"/>
      <c r="J58" s="390"/>
      <c r="K58" s="390"/>
      <c r="L58" s="390"/>
      <c r="M58" s="390"/>
      <c r="N58" s="390"/>
      <c r="O58" s="390"/>
      <c r="P58" s="390"/>
      <c r="Q58" s="390"/>
      <c r="R58" s="392"/>
      <c r="S58" s="392"/>
      <c r="T58" s="392"/>
      <c r="U58" s="392"/>
      <c r="V58" s="392"/>
      <c r="W58" s="392"/>
      <c r="X58" s="392"/>
      <c r="Y58" s="392"/>
      <c r="Z58" s="392"/>
      <c r="AA58" s="392"/>
      <c r="AB58" s="392"/>
      <c r="AC58" s="392"/>
      <c r="AD58" s="392"/>
      <c r="AE58" s="392"/>
      <c r="AF58" s="392"/>
      <c r="AG58" s="392"/>
      <c r="AH58" s="324"/>
      <c r="AI58" s="324"/>
      <c r="AJ58" s="324"/>
      <c r="AK58" s="324"/>
      <c r="AL58" s="324"/>
      <c r="AM58" s="324"/>
    </row>
    <row r="59" spans="1:39" s="302" customFormat="1" x14ac:dyDescent="0.3">
      <c r="A59" s="357"/>
      <c r="B59" s="387"/>
      <c r="C59" s="387"/>
      <c r="D59" s="387"/>
      <c r="E59" s="387"/>
      <c r="F59" s="388"/>
      <c r="G59" s="388"/>
      <c r="H59" s="388"/>
      <c r="I59" s="387"/>
      <c r="J59" s="387"/>
      <c r="K59" s="387"/>
      <c r="L59" s="387"/>
      <c r="M59" s="387"/>
      <c r="N59" s="387"/>
      <c r="O59" s="387"/>
      <c r="P59" s="387"/>
      <c r="Q59" s="387"/>
      <c r="R59" s="389"/>
      <c r="S59" s="389"/>
      <c r="T59" s="389"/>
      <c r="U59" s="389"/>
      <c r="V59" s="389"/>
      <c r="W59" s="389"/>
      <c r="X59" s="389"/>
      <c r="Y59" s="389"/>
      <c r="Z59" s="389"/>
      <c r="AA59" s="389"/>
      <c r="AB59" s="389"/>
      <c r="AC59" s="389"/>
      <c r="AD59" s="389"/>
      <c r="AE59" s="389"/>
      <c r="AF59" s="389"/>
      <c r="AG59" s="389"/>
      <c r="AH59" s="357"/>
      <c r="AI59" s="357"/>
      <c r="AJ59" s="357"/>
      <c r="AK59" s="357"/>
      <c r="AL59" s="357"/>
      <c r="AM59" s="357"/>
    </row>
    <row r="60" spans="1:39" x14ac:dyDescent="0.3">
      <c r="A60" s="324"/>
      <c r="B60" s="387"/>
      <c r="C60" s="387"/>
      <c r="D60" s="390"/>
      <c r="E60" s="387"/>
      <c r="F60" s="391"/>
      <c r="G60" s="391"/>
      <c r="H60" s="391"/>
      <c r="I60" s="390"/>
      <c r="J60" s="390"/>
      <c r="K60" s="390"/>
      <c r="L60" s="390"/>
      <c r="M60" s="390"/>
      <c r="N60" s="390"/>
      <c r="O60" s="390"/>
      <c r="P60" s="390"/>
      <c r="Q60" s="390"/>
      <c r="R60" s="392"/>
      <c r="S60" s="392"/>
      <c r="T60" s="392"/>
      <c r="U60" s="392"/>
      <c r="V60" s="392"/>
      <c r="W60" s="392"/>
      <c r="X60" s="392"/>
      <c r="Y60" s="392"/>
      <c r="Z60" s="392"/>
      <c r="AA60" s="392"/>
      <c r="AB60" s="392"/>
      <c r="AC60" s="392"/>
      <c r="AD60" s="392"/>
      <c r="AE60" s="392"/>
      <c r="AF60" s="392"/>
      <c r="AG60" s="392"/>
      <c r="AH60" s="324"/>
      <c r="AI60" s="324"/>
      <c r="AJ60" s="324"/>
      <c r="AK60" s="324"/>
      <c r="AL60" s="324"/>
      <c r="AM60" s="324"/>
    </row>
    <row r="61" spans="1:39" x14ac:dyDescent="0.3">
      <c r="A61" s="324"/>
      <c r="B61" s="387"/>
      <c r="C61" s="387"/>
      <c r="D61" s="390"/>
      <c r="E61" s="387"/>
      <c r="F61" s="391"/>
      <c r="G61" s="391"/>
      <c r="H61" s="391"/>
      <c r="I61" s="390"/>
      <c r="J61" s="390"/>
      <c r="K61" s="390"/>
      <c r="L61" s="390"/>
      <c r="M61" s="390"/>
      <c r="N61" s="390"/>
      <c r="O61" s="390"/>
      <c r="P61" s="390"/>
      <c r="Q61" s="390"/>
      <c r="R61" s="392"/>
      <c r="S61" s="392"/>
      <c r="T61" s="392"/>
      <c r="U61" s="392"/>
      <c r="V61" s="392"/>
      <c r="W61" s="392"/>
      <c r="X61" s="392"/>
      <c r="Y61" s="392"/>
      <c r="Z61" s="392"/>
      <c r="AA61" s="392"/>
      <c r="AB61" s="392"/>
      <c r="AC61" s="392"/>
      <c r="AD61" s="392"/>
      <c r="AE61" s="392"/>
      <c r="AF61" s="392"/>
      <c r="AG61" s="392"/>
      <c r="AH61" s="324"/>
      <c r="AI61" s="324"/>
      <c r="AJ61" s="324"/>
      <c r="AK61" s="324"/>
      <c r="AL61" s="324"/>
      <c r="AM61" s="324"/>
    </row>
    <row r="62" spans="1:39" x14ac:dyDescent="0.3">
      <c r="A62" s="324"/>
      <c r="B62" s="387"/>
      <c r="C62" s="387"/>
      <c r="D62" s="390"/>
      <c r="E62" s="387"/>
      <c r="F62" s="391"/>
      <c r="G62" s="391"/>
      <c r="H62" s="391"/>
      <c r="I62" s="390"/>
      <c r="J62" s="390"/>
      <c r="K62" s="390"/>
      <c r="L62" s="390"/>
      <c r="M62" s="390"/>
      <c r="N62" s="390"/>
      <c r="O62" s="390"/>
      <c r="P62" s="390"/>
      <c r="Q62" s="390"/>
      <c r="R62" s="392"/>
      <c r="S62" s="392"/>
      <c r="T62" s="392"/>
      <c r="U62" s="392"/>
      <c r="V62" s="392"/>
      <c r="W62" s="392"/>
      <c r="X62" s="392"/>
      <c r="Y62" s="392"/>
      <c r="Z62" s="392"/>
      <c r="AA62" s="392"/>
      <c r="AB62" s="392"/>
      <c r="AC62" s="392"/>
      <c r="AD62" s="392"/>
      <c r="AE62" s="392"/>
      <c r="AF62" s="392"/>
      <c r="AG62" s="392"/>
      <c r="AH62" s="324"/>
      <c r="AI62" s="324"/>
      <c r="AJ62" s="324"/>
      <c r="AK62" s="324"/>
      <c r="AL62" s="324"/>
      <c r="AM62" s="324"/>
    </row>
    <row r="63" spans="1:39" x14ac:dyDescent="0.3">
      <c r="A63" s="324"/>
      <c r="B63" s="387"/>
      <c r="C63" s="387"/>
      <c r="D63" s="390"/>
      <c r="E63" s="387"/>
      <c r="F63" s="391"/>
      <c r="G63" s="391"/>
      <c r="H63" s="391"/>
      <c r="I63" s="390"/>
      <c r="J63" s="390"/>
      <c r="K63" s="390"/>
      <c r="L63" s="390"/>
      <c r="M63" s="390"/>
      <c r="N63" s="390"/>
      <c r="O63" s="390"/>
      <c r="P63" s="390"/>
      <c r="Q63" s="390"/>
      <c r="R63" s="392"/>
      <c r="S63" s="392"/>
      <c r="T63" s="392"/>
      <c r="U63" s="392"/>
      <c r="V63" s="392"/>
      <c r="W63" s="392"/>
      <c r="X63" s="392"/>
      <c r="Y63" s="392"/>
      <c r="Z63" s="392"/>
      <c r="AA63" s="392"/>
      <c r="AB63" s="392"/>
      <c r="AC63" s="392"/>
      <c r="AD63" s="392"/>
      <c r="AE63" s="392"/>
      <c r="AF63" s="392"/>
      <c r="AG63" s="392"/>
      <c r="AH63" s="324"/>
      <c r="AI63" s="324"/>
      <c r="AJ63" s="324"/>
      <c r="AK63" s="324"/>
      <c r="AL63" s="324"/>
      <c r="AM63" s="324"/>
    </row>
    <row r="64" spans="1:39" s="302" customFormat="1" x14ac:dyDescent="0.3">
      <c r="A64" s="357"/>
      <c r="B64" s="387"/>
      <c r="C64" s="387"/>
      <c r="D64" s="387"/>
      <c r="E64" s="387"/>
      <c r="F64" s="388"/>
      <c r="G64" s="388"/>
      <c r="H64" s="388"/>
      <c r="I64" s="387"/>
      <c r="J64" s="387"/>
      <c r="K64" s="387"/>
      <c r="L64" s="387"/>
      <c r="M64" s="387"/>
      <c r="N64" s="387"/>
      <c r="O64" s="387"/>
      <c r="P64" s="387"/>
      <c r="Q64" s="387"/>
      <c r="R64" s="389"/>
      <c r="S64" s="389"/>
      <c r="T64" s="389"/>
      <c r="U64" s="389"/>
      <c r="V64" s="389"/>
      <c r="W64" s="389"/>
      <c r="X64" s="389"/>
      <c r="Y64" s="389"/>
      <c r="Z64" s="389"/>
      <c r="AA64" s="389"/>
      <c r="AB64" s="389"/>
      <c r="AC64" s="389"/>
      <c r="AD64" s="389"/>
      <c r="AE64" s="389"/>
      <c r="AF64" s="389"/>
      <c r="AG64" s="389"/>
      <c r="AH64" s="357"/>
      <c r="AI64" s="357"/>
      <c r="AJ64" s="357"/>
      <c r="AK64" s="357"/>
      <c r="AL64" s="357"/>
      <c r="AM64" s="357"/>
    </row>
    <row r="65" spans="1:39" x14ac:dyDescent="0.3">
      <c r="A65" s="324"/>
      <c r="B65" s="387"/>
      <c r="C65" s="387"/>
      <c r="D65" s="390"/>
      <c r="E65" s="387"/>
      <c r="F65" s="391"/>
      <c r="G65" s="391"/>
      <c r="H65" s="391"/>
      <c r="I65" s="390"/>
      <c r="J65" s="390"/>
      <c r="K65" s="390"/>
      <c r="L65" s="390"/>
      <c r="M65" s="390"/>
      <c r="N65" s="390"/>
      <c r="O65" s="390"/>
      <c r="P65" s="390"/>
      <c r="Q65" s="390"/>
      <c r="R65" s="392"/>
      <c r="S65" s="392"/>
      <c r="T65" s="392"/>
      <c r="U65" s="392"/>
      <c r="V65" s="392"/>
      <c r="W65" s="392"/>
      <c r="X65" s="392"/>
      <c r="Y65" s="392"/>
      <c r="Z65" s="392"/>
      <c r="AA65" s="392"/>
      <c r="AB65" s="392"/>
      <c r="AC65" s="392"/>
      <c r="AD65" s="392"/>
      <c r="AE65" s="392"/>
      <c r="AF65" s="392"/>
      <c r="AG65" s="392"/>
      <c r="AH65" s="324"/>
      <c r="AI65" s="324"/>
      <c r="AJ65" s="324"/>
      <c r="AK65" s="324"/>
      <c r="AL65" s="324"/>
      <c r="AM65" s="324"/>
    </row>
    <row r="66" spans="1:39" x14ac:dyDescent="0.3">
      <c r="A66" s="324"/>
      <c r="B66" s="387"/>
      <c r="C66" s="387"/>
      <c r="D66" s="390"/>
      <c r="E66" s="387"/>
      <c r="F66" s="391"/>
      <c r="G66" s="391"/>
      <c r="H66" s="391"/>
      <c r="I66" s="390"/>
      <c r="J66" s="390"/>
      <c r="K66" s="390"/>
      <c r="L66" s="390"/>
      <c r="M66" s="390"/>
      <c r="N66" s="390"/>
      <c r="O66" s="390"/>
      <c r="P66" s="390"/>
      <c r="Q66" s="390"/>
      <c r="R66" s="392"/>
      <c r="S66" s="392"/>
      <c r="T66" s="392"/>
      <c r="U66" s="392"/>
      <c r="V66" s="392"/>
      <c r="W66" s="392"/>
      <c r="X66" s="392"/>
      <c r="Y66" s="392"/>
      <c r="Z66" s="392"/>
      <c r="AA66" s="392"/>
      <c r="AB66" s="392"/>
      <c r="AC66" s="392"/>
      <c r="AD66" s="392"/>
      <c r="AE66" s="392"/>
      <c r="AF66" s="392"/>
      <c r="AG66" s="392"/>
      <c r="AH66" s="324"/>
      <c r="AI66" s="324"/>
      <c r="AJ66" s="324"/>
      <c r="AK66" s="324"/>
      <c r="AL66" s="324"/>
      <c r="AM66" s="324"/>
    </row>
    <row r="67" spans="1:39" x14ac:dyDescent="0.3">
      <c r="A67" s="324"/>
      <c r="B67" s="387"/>
      <c r="C67" s="387"/>
      <c r="D67" s="390"/>
      <c r="E67" s="387"/>
      <c r="F67" s="391"/>
      <c r="G67" s="391"/>
      <c r="H67" s="391"/>
      <c r="I67" s="390"/>
      <c r="J67" s="390"/>
      <c r="K67" s="390"/>
      <c r="L67" s="390"/>
      <c r="M67" s="390"/>
      <c r="N67" s="390"/>
      <c r="O67" s="390"/>
      <c r="P67" s="390"/>
      <c r="Q67" s="390"/>
      <c r="R67" s="392"/>
      <c r="S67" s="392"/>
      <c r="T67" s="392"/>
      <c r="U67" s="392"/>
      <c r="V67" s="392"/>
      <c r="W67" s="392"/>
      <c r="X67" s="392"/>
      <c r="Y67" s="392"/>
      <c r="Z67" s="392"/>
      <c r="AA67" s="392"/>
      <c r="AB67" s="392"/>
      <c r="AC67" s="392"/>
      <c r="AD67" s="392"/>
      <c r="AE67" s="392"/>
      <c r="AF67" s="392"/>
      <c r="AG67" s="392"/>
      <c r="AH67" s="324"/>
      <c r="AI67" s="324"/>
      <c r="AJ67" s="324"/>
      <c r="AK67" s="324"/>
      <c r="AL67" s="324"/>
      <c r="AM67" s="324"/>
    </row>
    <row r="68" spans="1:39" x14ac:dyDescent="0.3">
      <c r="A68" s="324"/>
      <c r="B68" s="387"/>
      <c r="C68" s="387"/>
      <c r="D68" s="390"/>
      <c r="E68" s="387"/>
      <c r="F68" s="391"/>
      <c r="G68" s="391"/>
      <c r="H68" s="391"/>
      <c r="I68" s="390"/>
      <c r="J68" s="390"/>
      <c r="K68" s="390"/>
      <c r="L68" s="390"/>
      <c r="M68" s="390"/>
      <c r="N68" s="390"/>
      <c r="O68" s="390"/>
      <c r="P68" s="390"/>
      <c r="Q68" s="390"/>
      <c r="R68" s="392"/>
      <c r="S68" s="392"/>
      <c r="T68" s="392"/>
      <c r="U68" s="392"/>
      <c r="V68" s="392"/>
      <c r="W68" s="392"/>
      <c r="X68" s="392"/>
      <c r="Y68" s="392"/>
      <c r="Z68" s="392"/>
      <c r="AA68" s="392"/>
      <c r="AB68" s="392"/>
      <c r="AC68" s="392"/>
      <c r="AD68" s="392"/>
      <c r="AE68" s="392"/>
      <c r="AF68" s="392"/>
      <c r="AG68" s="392"/>
      <c r="AH68" s="324"/>
      <c r="AI68" s="324"/>
      <c r="AJ68" s="324"/>
      <c r="AK68" s="324"/>
      <c r="AL68" s="324"/>
      <c r="AM68" s="324"/>
    </row>
    <row r="69" spans="1:39" s="302" customFormat="1" x14ac:dyDescent="0.3">
      <c r="A69" s="357"/>
      <c r="B69" s="387"/>
      <c r="C69" s="387"/>
      <c r="D69" s="387"/>
      <c r="E69" s="387"/>
      <c r="F69" s="388"/>
      <c r="G69" s="388"/>
      <c r="H69" s="388"/>
      <c r="I69" s="393"/>
      <c r="J69" s="387"/>
      <c r="K69" s="387"/>
      <c r="L69" s="387"/>
      <c r="M69" s="387"/>
      <c r="N69" s="387"/>
      <c r="O69" s="387"/>
      <c r="P69" s="387"/>
      <c r="Q69" s="387"/>
      <c r="R69" s="389"/>
      <c r="S69" s="389"/>
      <c r="T69" s="389"/>
      <c r="U69" s="389"/>
      <c r="V69" s="389"/>
      <c r="W69" s="389"/>
      <c r="X69" s="389"/>
      <c r="Y69" s="389"/>
      <c r="Z69" s="389"/>
      <c r="AA69" s="389"/>
      <c r="AB69" s="389"/>
      <c r="AC69" s="389"/>
      <c r="AD69" s="389"/>
      <c r="AE69" s="389"/>
      <c r="AF69" s="389"/>
      <c r="AG69" s="389"/>
      <c r="AH69" s="357"/>
      <c r="AI69" s="357"/>
      <c r="AJ69" s="357"/>
      <c r="AK69" s="357"/>
      <c r="AL69" s="357"/>
      <c r="AM69" s="357"/>
    </row>
    <row r="70" spans="1:39" x14ac:dyDescent="0.3">
      <c r="A70" s="324"/>
      <c r="B70" s="387"/>
      <c r="C70" s="387"/>
      <c r="D70" s="390"/>
      <c r="E70" s="387"/>
      <c r="F70" s="391"/>
      <c r="G70" s="391"/>
      <c r="H70" s="391"/>
      <c r="I70" s="394"/>
      <c r="J70" s="390"/>
      <c r="K70" s="390"/>
      <c r="L70" s="390"/>
      <c r="M70" s="390"/>
      <c r="N70" s="390"/>
      <c r="O70" s="390"/>
      <c r="P70" s="390"/>
      <c r="Q70" s="390"/>
      <c r="R70" s="392"/>
      <c r="S70" s="392"/>
      <c r="T70" s="392"/>
      <c r="U70" s="392"/>
      <c r="V70" s="392"/>
      <c r="W70" s="392"/>
      <c r="X70" s="392"/>
      <c r="Y70" s="392"/>
      <c r="Z70" s="392"/>
      <c r="AA70" s="392"/>
      <c r="AB70" s="392"/>
      <c r="AC70" s="392"/>
      <c r="AD70" s="392"/>
      <c r="AE70" s="392"/>
      <c r="AF70" s="392"/>
      <c r="AG70" s="392"/>
      <c r="AH70" s="324"/>
      <c r="AI70" s="324"/>
      <c r="AJ70" s="324"/>
      <c r="AK70" s="324"/>
      <c r="AL70" s="324"/>
      <c r="AM70" s="324"/>
    </row>
    <row r="71" spans="1:39" x14ac:dyDescent="0.3">
      <c r="A71" s="324"/>
      <c r="B71" s="387"/>
      <c r="C71" s="387"/>
      <c r="D71" s="390"/>
      <c r="E71" s="387"/>
      <c r="F71" s="391"/>
      <c r="G71" s="391"/>
      <c r="H71" s="391"/>
      <c r="I71" s="394"/>
      <c r="J71" s="390"/>
      <c r="K71" s="390"/>
      <c r="L71" s="390"/>
      <c r="M71" s="390"/>
      <c r="N71" s="390"/>
      <c r="O71" s="390"/>
      <c r="P71" s="390"/>
      <c r="Q71" s="390"/>
      <c r="R71" s="392"/>
      <c r="S71" s="392"/>
      <c r="T71" s="392"/>
      <c r="U71" s="392"/>
      <c r="V71" s="392"/>
      <c r="W71" s="392"/>
      <c r="X71" s="392"/>
      <c r="Y71" s="392"/>
      <c r="Z71" s="392"/>
      <c r="AA71" s="392"/>
      <c r="AB71" s="392"/>
      <c r="AC71" s="392"/>
      <c r="AD71" s="392"/>
      <c r="AE71" s="392"/>
      <c r="AF71" s="392"/>
      <c r="AG71" s="392"/>
      <c r="AH71" s="324"/>
      <c r="AI71" s="324"/>
      <c r="AJ71" s="324"/>
      <c r="AK71" s="324"/>
      <c r="AL71" s="324"/>
      <c r="AM71" s="324"/>
    </row>
    <row r="72" spans="1:39" x14ac:dyDescent="0.3">
      <c r="A72" s="324"/>
      <c r="B72" s="387"/>
      <c r="C72" s="387"/>
      <c r="D72" s="390"/>
      <c r="E72" s="387"/>
      <c r="F72" s="391"/>
      <c r="G72" s="391"/>
      <c r="H72" s="391"/>
      <c r="I72" s="394"/>
      <c r="J72" s="390"/>
      <c r="K72" s="390"/>
      <c r="L72" s="390"/>
      <c r="M72" s="390"/>
      <c r="N72" s="390"/>
      <c r="O72" s="390"/>
      <c r="P72" s="390"/>
      <c r="Q72" s="390"/>
      <c r="R72" s="392"/>
      <c r="S72" s="392"/>
      <c r="T72" s="392"/>
      <c r="U72" s="392"/>
      <c r="V72" s="392"/>
      <c r="W72" s="392"/>
      <c r="X72" s="392"/>
      <c r="Y72" s="392"/>
      <c r="Z72" s="392"/>
      <c r="AA72" s="392"/>
      <c r="AB72" s="392"/>
      <c r="AC72" s="392"/>
      <c r="AD72" s="392"/>
      <c r="AE72" s="392"/>
      <c r="AF72" s="392"/>
      <c r="AG72" s="392"/>
      <c r="AH72" s="324"/>
      <c r="AI72" s="324"/>
      <c r="AJ72" s="324"/>
      <c r="AK72" s="324"/>
      <c r="AL72" s="324"/>
      <c r="AM72" s="324"/>
    </row>
    <row r="73" spans="1:39" x14ac:dyDescent="0.3">
      <c r="A73" s="324"/>
      <c r="B73" s="387"/>
      <c r="C73" s="387"/>
      <c r="D73" s="390"/>
      <c r="E73" s="387"/>
      <c r="F73" s="391"/>
      <c r="G73" s="391"/>
      <c r="H73" s="391"/>
      <c r="I73" s="394"/>
      <c r="J73" s="390"/>
      <c r="K73" s="390"/>
      <c r="L73" s="390"/>
      <c r="M73" s="390"/>
      <c r="N73" s="390"/>
      <c r="O73" s="390"/>
      <c r="P73" s="390"/>
      <c r="Q73" s="390"/>
      <c r="R73" s="392"/>
      <c r="S73" s="392"/>
      <c r="T73" s="392"/>
      <c r="U73" s="392"/>
      <c r="V73" s="392"/>
      <c r="W73" s="392"/>
      <c r="X73" s="392"/>
      <c r="Y73" s="392"/>
      <c r="Z73" s="392"/>
      <c r="AA73" s="392"/>
      <c r="AB73" s="392"/>
      <c r="AC73" s="392"/>
      <c r="AD73" s="392"/>
      <c r="AE73" s="392"/>
      <c r="AF73" s="392"/>
      <c r="AG73" s="392"/>
      <c r="AH73" s="324"/>
      <c r="AI73" s="324"/>
      <c r="AJ73" s="324"/>
      <c r="AK73" s="324"/>
      <c r="AL73" s="324"/>
      <c r="AM73" s="324"/>
    </row>
    <row r="74" spans="1:39" s="302" customFormat="1" x14ac:dyDescent="0.3">
      <c r="A74" s="357"/>
      <c r="B74" s="387"/>
      <c r="C74" s="387"/>
      <c r="D74" s="387"/>
      <c r="E74" s="387"/>
      <c r="F74" s="388"/>
      <c r="G74" s="388"/>
      <c r="H74" s="388"/>
      <c r="I74" s="393"/>
      <c r="J74" s="387"/>
      <c r="K74" s="387"/>
      <c r="L74" s="387"/>
      <c r="M74" s="387"/>
      <c r="N74" s="387"/>
      <c r="O74" s="387"/>
      <c r="P74" s="387"/>
      <c r="Q74" s="387"/>
      <c r="R74" s="389"/>
      <c r="S74" s="389"/>
      <c r="T74" s="389"/>
      <c r="U74" s="389"/>
      <c r="V74" s="389"/>
      <c r="W74" s="389"/>
      <c r="X74" s="389"/>
      <c r="Y74" s="389"/>
      <c r="Z74" s="389"/>
      <c r="AA74" s="389"/>
      <c r="AB74" s="389"/>
      <c r="AC74" s="389"/>
      <c r="AD74" s="389"/>
      <c r="AE74" s="389"/>
      <c r="AF74" s="389"/>
      <c r="AG74" s="389"/>
      <c r="AH74" s="357"/>
      <c r="AI74" s="357"/>
      <c r="AJ74" s="357"/>
      <c r="AK74" s="357"/>
      <c r="AL74" s="357"/>
      <c r="AM74" s="357"/>
    </row>
    <row r="75" spans="1:39" x14ac:dyDescent="0.3">
      <c r="A75" s="324"/>
      <c r="B75" s="387"/>
      <c r="C75" s="387"/>
      <c r="D75" s="390"/>
      <c r="E75" s="387"/>
      <c r="F75" s="391"/>
      <c r="G75" s="391"/>
      <c r="H75" s="391"/>
      <c r="I75" s="394"/>
      <c r="J75" s="390"/>
      <c r="K75" s="390"/>
      <c r="L75" s="390"/>
      <c r="M75" s="390"/>
      <c r="N75" s="390"/>
      <c r="O75" s="390"/>
      <c r="P75" s="390"/>
      <c r="Q75" s="390"/>
      <c r="R75" s="392"/>
      <c r="S75" s="392"/>
      <c r="T75" s="392"/>
      <c r="U75" s="392"/>
      <c r="V75" s="392"/>
      <c r="W75" s="392"/>
      <c r="X75" s="392"/>
      <c r="Y75" s="392"/>
      <c r="Z75" s="392"/>
      <c r="AA75" s="392"/>
      <c r="AB75" s="392"/>
      <c r="AC75" s="392"/>
      <c r="AD75" s="392"/>
      <c r="AE75" s="392"/>
      <c r="AF75" s="392"/>
      <c r="AG75" s="392"/>
      <c r="AH75" s="324"/>
      <c r="AI75" s="324"/>
      <c r="AJ75" s="324"/>
      <c r="AK75" s="324"/>
      <c r="AL75" s="324"/>
      <c r="AM75" s="324"/>
    </row>
    <row r="76" spans="1:39" x14ac:dyDescent="0.3">
      <c r="A76" s="324"/>
      <c r="B76" s="387"/>
      <c r="C76" s="387"/>
      <c r="D76" s="390"/>
      <c r="E76" s="387"/>
      <c r="F76" s="391"/>
      <c r="G76" s="391"/>
      <c r="H76" s="391"/>
      <c r="I76" s="394"/>
      <c r="J76" s="390"/>
      <c r="K76" s="390"/>
      <c r="L76" s="390"/>
      <c r="M76" s="390"/>
      <c r="N76" s="390"/>
      <c r="O76" s="390"/>
      <c r="P76" s="390"/>
      <c r="Q76" s="390"/>
      <c r="R76" s="392"/>
      <c r="S76" s="392"/>
      <c r="T76" s="392"/>
      <c r="U76" s="392"/>
      <c r="V76" s="392"/>
      <c r="W76" s="392"/>
      <c r="X76" s="392"/>
      <c r="Y76" s="392"/>
      <c r="Z76" s="392"/>
      <c r="AA76" s="392"/>
      <c r="AB76" s="392"/>
      <c r="AC76" s="392"/>
      <c r="AD76" s="392"/>
      <c r="AE76" s="392"/>
      <c r="AF76" s="392"/>
      <c r="AG76" s="392"/>
      <c r="AH76" s="324"/>
      <c r="AI76" s="324"/>
      <c r="AJ76" s="324"/>
      <c r="AK76" s="324"/>
      <c r="AL76" s="324"/>
      <c r="AM76" s="324"/>
    </row>
    <row r="77" spans="1:39" x14ac:dyDescent="0.3">
      <c r="A77" s="324"/>
      <c r="B77" s="387"/>
      <c r="C77" s="387"/>
      <c r="D77" s="390"/>
      <c r="E77" s="387"/>
      <c r="F77" s="391"/>
      <c r="G77" s="391"/>
      <c r="H77" s="391"/>
      <c r="I77" s="394"/>
      <c r="J77" s="390"/>
      <c r="K77" s="390"/>
      <c r="L77" s="390"/>
      <c r="M77" s="390"/>
      <c r="N77" s="390"/>
      <c r="O77" s="390"/>
      <c r="P77" s="390"/>
      <c r="Q77" s="390"/>
      <c r="R77" s="392"/>
      <c r="S77" s="392"/>
      <c r="T77" s="392"/>
      <c r="U77" s="392"/>
      <c r="V77" s="392"/>
      <c r="W77" s="392"/>
      <c r="X77" s="392"/>
      <c r="Y77" s="392"/>
      <c r="Z77" s="392"/>
      <c r="AA77" s="392"/>
      <c r="AB77" s="392"/>
      <c r="AC77" s="392"/>
      <c r="AD77" s="392"/>
      <c r="AE77" s="392"/>
      <c r="AF77" s="392"/>
      <c r="AG77" s="392"/>
      <c r="AH77" s="324"/>
      <c r="AI77" s="324"/>
      <c r="AJ77" s="324"/>
      <c r="AK77" s="324"/>
      <c r="AL77" s="324"/>
      <c r="AM77" s="324"/>
    </row>
    <row r="78" spans="1:39" x14ac:dyDescent="0.3">
      <c r="A78" s="324"/>
      <c r="B78" s="387"/>
      <c r="C78" s="387"/>
      <c r="D78" s="390"/>
      <c r="E78" s="387"/>
      <c r="F78" s="391"/>
      <c r="G78" s="391"/>
      <c r="H78" s="391"/>
      <c r="I78" s="394"/>
      <c r="J78" s="390"/>
      <c r="K78" s="390"/>
      <c r="L78" s="390"/>
      <c r="M78" s="390"/>
      <c r="N78" s="390"/>
      <c r="O78" s="390"/>
      <c r="P78" s="390"/>
      <c r="Q78" s="390"/>
      <c r="R78" s="392"/>
      <c r="S78" s="392"/>
      <c r="T78" s="392"/>
      <c r="U78" s="392"/>
      <c r="V78" s="392"/>
      <c r="W78" s="392"/>
      <c r="X78" s="392"/>
      <c r="Y78" s="392"/>
      <c r="Z78" s="392"/>
      <c r="AA78" s="392"/>
      <c r="AB78" s="392"/>
      <c r="AC78" s="392"/>
      <c r="AD78" s="392"/>
      <c r="AE78" s="392"/>
      <c r="AF78" s="392"/>
      <c r="AG78" s="392"/>
      <c r="AH78" s="324"/>
      <c r="AI78" s="324"/>
      <c r="AJ78" s="324"/>
      <c r="AK78" s="324"/>
      <c r="AL78" s="324"/>
      <c r="AM78" s="324"/>
    </row>
    <row r="79" spans="1:39" x14ac:dyDescent="0.3">
      <c r="A79" s="324"/>
      <c r="B79" s="387"/>
      <c r="C79" s="387"/>
      <c r="D79" s="390"/>
      <c r="E79" s="387"/>
      <c r="F79" s="391"/>
      <c r="G79" s="391"/>
      <c r="H79" s="391"/>
      <c r="I79" s="394"/>
      <c r="J79" s="390"/>
      <c r="K79" s="390"/>
      <c r="L79" s="390"/>
      <c r="M79" s="390"/>
      <c r="N79" s="390"/>
      <c r="O79" s="390"/>
      <c r="P79" s="390"/>
      <c r="Q79" s="390"/>
      <c r="R79" s="392"/>
      <c r="S79" s="392"/>
      <c r="T79" s="392"/>
      <c r="U79" s="392"/>
      <c r="V79" s="392"/>
      <c r="W79" s="392"/>
      <c r="X79" s="392"/>
      <c r="Y79" s="392"/>
      <c r="Z79" s="392"/>
      <c r="AA79" s="392"/>
      <c r="AB79" s="392"/>
      <c r="AC79" s="392"/>
      <c r="AD79" s="392"/>
      <c r="AE79" s="392"/>
      <c r="AF79" s="392"/>
      <c r="AG79" s="392"/>
      <c r="AH79" s="324"/>
      <c r="AI79" s="324"/>
      <c r="AJ79" s="324"/>
      <c r="AK79" s="324"/>
      <c r="AL79" s="324"/>
      <c r="AM79" s="324"/>
    </row>
    <row r="80" spans="1:39" x14ac:dyDescent="0.3">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row>
    <row r="81" spans="1:39" x14ac:dyDescent="0.3">
      <c r="A81" s="324"/>
      <c r="B81" s="858"/>
      <c r="C81" s="858"/>
      <c r="D81" s="414"/>
      <c r="E81" s="414"/>
      <c r="F81" s="415"/>
      <c r="G81" s="449"/>
      <c r="H81" s="449"/>
      <c r="I81" s="449"/>
      <c r="J81" s="450"/>
      <c r="K81" s="450"/>
      <c r="L81" s="450"/>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row>
    <row r="82" spans="1:39" x14ac:dyDescent="0.3">
      <c r="A82" s="324"/>
      <c r="B82" s="858"/>
      <c r="C82" s="858"/>
      <c r="D82" s="406"/>
      <c r="E82" s="406"/>
      <c r="F82" s="406"/>
      <c r="G82" s="859"/>
      <c r="H82" s="859"/>
      <c r="I82" s="859"/>
      <c r="J82" s="324"/>
      <c r="K82" s="324"/>
      <c r="L82" s="859"/>
      <c r="M82" s="859"/>
      <c r="N82" s="859"/>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row>
    <row r="83" spans="1:39" x14ac:dyDescent="0.3">
      <c r="A83" s="324"/>
      <c r="B83" s="860"/>
      <c r="C83" s="861"/>
      <c r="D83" s="861"/>
      <c r="E83" s="860"/>
      <c r="F83" s="860"/>
      <c r="G83" s="857"/>
      <c r="H83" s="857"/>
      <c r="I83" s="857"/>
      <c r="J83" s="856"/>
      <c r="K83" s="856"/>
      <c r="L83" s="857"/>
      <c r="M83" s="857"/>
      <c r="N83" s="857"/>
      <c r="O83" s="856"/>
      <c r="P83" s="856"/>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row>
    <row r="84" spans="1:39" x14ac:dyDescent="0.3">
      <c r="A84" s="324"/>
      <c r="B84" s="860"/>
      <c r="C84" s="861"/>
      <c r="D84" s="861"/>
      <c r="E84" s="860"/>
      <c r="F84" s="860"/>
      <c r="G84" s="857"/>
      <c r="H84" s="857"/>
      <c r="I84" s="857"/>
      <c r="J84" s="856"/>
      <c r="K84" s="856"/>
      <c r="L84" s="857"/>
      <c r="M84" s="857"/>
      <c r="N84" s="857"/>
      <c r="O84" s="856"/>
      <c r="P84" s="856"/>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row>
    <row r="85" spans="1:39" x14ac:dyDescent="0.3">
      <c r="A85" s="324"/>
      <c r="B85" s="406"/>
      <c r="C85" s="451"/>
      <c r="D85" s="451"/>
      <c r="E85" s="451"/>
      <c r="F85" s="451"/>
      <c r="G85" s="456"/>
      <c r="H85" s="456"/>
      <c r="I85" s="456"/>
      <c r="J85" s="456"/>
      <c r="K85" s="456"/>
      <c r="L85" s="406"/>
      <c r="M85" s="406"/>
      <c r="N85" s="406"/>
      <c r="O85" s="406"/>
      <c r="P85" s="406"/>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row>
    <row r="86" spans="1:39" x14ac:dyDescent="0.3">
      <c r="A86" s="324"/>
      <c r="B86" s="406"/>
      <c r="C86" s="451"/>
      <c r="D86" s="451"/>
      <c r="E86" s="451"/>
      <c r="F86" s="451"/>
      <c r="G86" s="456"/>
      <c r="H86" s="456"/>
      <c r="I86" s="456"/>
      <c r="J86" s="456"/>
      <c r="K86" s="456"/>
      <c r="L86" s="406"/>
      <c r="M86" s="406"/>
      <c r="N86" s="406"/>
      <c r="O86" s="406"/>
      <c r="P86" s="406"/>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row>
    <row r="87" spans="1:39" x14ac:dyDescent="0.3">
      <c r="A87" s="324"/>
      <c r="B87" s="406"/>
      <c r="C87" s="451"/>
      <c r="D87" s="451"/>
      <c r="E87" s="451"/>
      <c r="F87" s="451"/>
      <c r="G87" s="456"/>
      <c r="H87" s="456"/>
      <c r="I87" s="456"/>
      <c r="J87" s="456"/>
      <c r="K87" s="456"/>
      <c r="L87" s="406"/>
      <c r="M87" s="406"/>
      <c r="N87" s="406"/>
      <c r="O87" s="406"/>
      <c r="P87" s="406"/>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row>
    <row r="88" spans="1:39" x14ac:dyDescent="0.3">
      <c r="A88" s="324"/>
      <c r="B88" s="406"/>
      <c r="C88" s="451"/>
      <c r="D88" s="451"/>
      <c r="E88" s="451"/>
      <c r="F88" s="451"/>
      <c r="G88" s="456"/>
      <c r="H88" s="456"/>
      <c r="I88" s="456"/>
      <c r="J88" s="456"/>
      <c r="K88" s="456"/>
      <c r="L88" s="406"/>
      <c r="M88" s="406"/>
      <c r="N88" s="406"/>
      <c r="O88" s="406"/>
      <c r="P88" s="406"/>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row>
    <row r="89" spans="1:39" x14ac:dyDescent="0.3">
      <c r="A89" s="324"/>
      <c r="B89" s="406"/>
      <c r="C89" s="451"/>
      <c r="D89" s="451"/>
      <c r="E89" s="451"/>
      <c r="F89" s="451"/>
      <c r="G89" s="456"/>
      <c r="H89" s="456"/>
      <c r="I89" s="456"/>
      <c r="J89" s="456"/>
      <c r="K89" s="456"/>
      <c r="L89" s="406"/>
      <c r="M89" s="406"/>
      <c r="N89" s="406"/>
      <c r="O89" s="406"/>
      <c r="P89" s="406"/>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row>
    <row r="90" spans="1:39" x14ac:dyDescent="0.3">
      <c r="A90" s="324"/>
      <c r="B90" s="406"/>
      <c r="C90" s="451"/>
      <c r="D90" s="451"/>
      <c r="E90" s="451"/>
      <c r="F90" s="451"/>
      <c r="G90" s="456"/>
      <c r="H90" s="456"/>
      <c r="I90" s="456"/>
      <c r="J90" s="324"/>
      <c r="K90" s="324"/>
      <c r="L90" s="406"/>
      <c r="M90" s="406"/>
      <c r="N90" s="406"/>
      <c r="O90" s="406"/>
      <c r="P90" s="406"/>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row>
    <row r="91" spans="1:39" x14ac:dyDescent="0.3">
      <c r="A91" s="324"/>
      <c r="B91" s="457"/>
      <c r="C91" s="452"/>
      <c r="D91" s="452"/>
      <c r="E91" s="452"/>
      <c r="F91" s="452"/>
      <c r="G91" s="457"/>
      <c r="H91" s="457"/>
      <c r="I91" s="456"/>
      <c r="J91" s="324"/>
      <c r="K91" s="324"/>
      <c r="L91" s="406"/>
      <c r="M91" s="406"/>
      <c r="N91" s="406"/>
      <c r="O91" s="406"/>
      <c r="P91" s="406"/>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row>
    <row r="92" spans="1:39" x14ac:dyDescent="0.3">
      <c r="A92" s="324"/>
      <c r="B92" s="458"/>
      <c r="C92" s="452"/>
      <c r="D92" s="452"/>
      <c r="E92" s="452"/>
      <c r="F92" s="452"/>
      <c r="G92" s="452"/>
      <c r="H92" s="452"/>
      <c r="I92" s="456"/>
      <c r="J92" s="324"/>
      <c r="K92" s="324"/>
      <c r="L92" s="406"/>
      <c r="M92" s="406"/>
      <c r="N92" s="406"/>
      <c r="O92" s="406"/>
      <c r="P92" s="406"/>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row>
    <row r="93" spans="1:39" x14ac:dyDescent="0.3">
      <c r="A93" s="324"/>
      <c r="B93" s="458"/>
      <c r="C93" s="452"/>
      <c r="D93" s="452"/>
      <c r="E93" s="452"/>
      <c r="F93" s="452"/>
      <c r="G93" s="452"/>
      <c r="H93" s="452"/>
      <c r="I93" s="456"/>
      <c r="J93" s="324"/>
      <c r="K93" s="324"/>
      <c r="L93" s="406"/>
      <c r="M93" s="406"/>
      <c r="N93" s="406"/>
      <c r="O93" s="406"/>
      <c r="P93" s="406"/>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row>
    <row r="94" spans="1:39" x14ac:dyDescent="0.3">
      <c r="A94" s="324"/>
      <c r="B94" s="458"/>
      <c r="C94" s="452"/>
      <c r="D94" s="452"/>
      <c r="E94" s="452"/>
      <c r="F94" s="452"/>
      <c r="G94" s="452"/>
      <c r="H94" s="452"/>
      <c r="I94" s="456"/>
      <c r="J94" s="324"/>
      <c r="K94" s="324"/>
      <c r="L94" s="406"/>
      <c r="M94" s="406"/>
      <c r="N94" s="406"/>
      <c r="O94" s="406"/>
      <c r="P94" s="406"/>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row>
    <row r="95" spans="1:39" x14ac:dyDescent="0.3">
      <c r="A95" s="324"/>
      <c r="B95" s="458"/>
      <c r="C95" s="457"/>
      <c r="D95" s="452"/>
      <c r="E95" s="452"/>
      <c r="F95" s="452"/>
      <c r="G95" s="452"/>
      <c r="H95" s="452"/>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row>
    <row r="96" spans="1:39" x14ac:dyDescent="0.3">
      <c r="A96" s="324"/>
      <c r="B96" s="458"/>
      <c r="C96" s="457"/>
      <c r="D96" s="452"/>
      <c r="E96" s="452"/>
      <c r="F96" s="452"/>
      <c r="G96" s="452"/>
      <c r="H96" s="452"/>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4"/>
      <c r="AL96" s="324"/>
      <c r="AM96" s="324"/>
    </row>
    <row r="97" spans="1:39" x14ac:dyDescent="0.3">
      <c r="A97" s="324"/>
      <c r="B97" s="458"/>
      <c r="C97" s="457"/>
      <c r="D97" s="452"/>
      <c r="E97" s="452"/>
      <c r="F97" s="452"/>
      <c r="G97" s="452"/>
      <c r="H97" s="452"/>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4"/>
      <c r="AL97" s="324"/>
      <c r="AM97" s="324"/>
    </row>
    <row r="98" spans="1:39" x14ac:dyDescent="0.3">
      <c r="A98" s="324"/>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4"/>
      <c r="AL98" s="324"/>
      <c r="AM98" s="324"/>
    </row>
    <row r="99" spans="1:39" x14ac:dyDescent="0.3">
      <c r="A99" s="324"/>
      <c r="B99" s="858"/>
      <c r="C99" s="858"/>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row>
    <row r="100" spans="1:39" x14ac:dyDescent="0.3">
      <c r="A100" s="324"/>
      <c r="B100" s="858"/>
      <c r="C100" s="858"/>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4"/>
      <c r="AL100" s="324"/>
      <c r="AM100" s="324"/>
    </row>
    <row r="101" spans="1:39" x14ac:dyDescent="0.3">
      <c r="A101" s="324"/>
      <c r="B101" s="459"/>
      <c r="C101" s="341"/>
      <c r="D101" s="459"/>
      <c r="E101" s="460"/>
      <c r="F101" s="461"/>
      <c r="G101" s="461"/>
      <c r="H101" s="459"/>
      <c r="I101" s="459"/>
      <c r="J101" s="325"/>
      <c r="K101" s="459"/>
      <c r="L101" s="462"/>
      <c r="M101" s="462"/>
      <c r="N101" s="459"/>
      <c r="O101" s="462"/>
      <c r="P101" s="459"/>
      <c r="Q101" s="462"/>
      <c r="R101" s="455"/>
      <c r="S101" s="455"/>
      <c r="T101" s="455"/>
      <c r="U101" s="455"/>
      <c r="V101" s="455"/>
      <c r="W101" s="455"/>
      <c r="X101" s="455"/>
      <c r="Y101" s="455"/>
      <c r="Z101" s="455"/>
      <c r="AA101" s="455"/>
      <c r="AB101" s="455"/>
      <c r="AC101" s="455"/>
      <c r="AD101" s="455"/>
      <c r="AE101" s="455"/>
      <c r="AF101" s="455"/>
      <c r="AG101" s="455"/>
      <c r="AH101" s="324"/>
      <c r="AI101" s="324"/>
      <c r="AJ101" s="324"/>
      <c r="AK101" s="324"/>
      <c r="AL101" s="324"/>
      <c r="AM101" s="324"/>
    </row>
    <row r="102" spans="1:39" s="302" customFormat="1" x14ac:dyDescent="0.3">
      <c r="A102" s="357"/>
      <c r="B102" s="463"/>
      <c r="C102" s="463"/>
      <c r="D102" s="463"/>
      <c r="E102" s="347"/>
      <c r="F102" s="347"/>
      <c r="G102" s="347"/>
      <c r="H102" s="463"/>
      <c r="I102" s="463"/>
      <c r="J102" s="463"/>
      <c r="K102" s="463"/>
      <c r="L102" s="463"/>
      <c r="M102" s="463"/>
      <c r="N102" s="357"/>
      <c r="O102" s="464"/>
      <c r="P102" s="463"/>
      <c r="Q102" s="463"/>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row>
    <row r="103" spans="1:39" x14ac:dyDescent="0.3">
      <c r="A103" s="324"/>
      <c r="B103" s="465"/>
      <c r="C103" s="463"/>
      <c r="D103" s="465"/>
      <c r="E103" s="351"/>
      <c r="F103" s="351"/>
      <c r="G103" s="351"/>
      <c r="H103" s="465"/>
      <c r="I103" s="465"/>
      <c r="J103" s="465"/>
      <c r="K103" s="465"/>
      <c r="L103" s="465"/>
      <c r="M103" s="465"/>
      <c r="N103" s="466"/>
      <c r="O103" s="467"/>
      <c r="P103" s="465"/>
      <c r="Q103" s="465"/>
      <c r="R103" s="324"/>
      <c r="S103" s="324"/>
      <c r="T103" s="324"/>
      <c r="U103" s="324"/>
      <c r="V103" s="324"/>
      <c r="W103" s="324"/>
      <c r="X103" s="324"/>
      <c r="Y103" s="324"/>
      <c r="Z103" s="324"/>
      <c r="AA103" s="324"/>
      <c r="AB103" s="324"/>
      <c r="AC103" s="324"/>
      <c r="AD103" s="324"/>
      <c r="AE103" s="324"/>
      <c r="AF103" s="324"/>
      <c r="AG103" s="324"/>
      <c r="AH103" s="324"/>
      <c r="AI103" s="324"/>
      <c r="AJ103" s="324"/>
      <c r="AK103" s="324"/>
      <c r="AL103" s="324"/>
      <c r="AM103" s="324"/>
    </row>
    <row r="104" spans="1:39" x14ac:dyDescent="0.3">
      <c r="A104" s="324"/>
      <c r="B104" s="465"/>
      <c r="C104" s="463"/>
      <c r="D104" s="465"/>
      <c r="E104" s="351"/>
      <c r="F104" s="351"/>
      <c r="G104" s="351"/>
      <c r="H104" s="465"/>
      <c r="I104" s="465"/>
      <c r="J104" s="465"/>
      <c r="K104" s="465"/>
      <c r="L104" s="465"/>
      <c r="M104" s="465"/>
      <c r="N104" s="466"/>
      <c r="O104" s="467"/>
      <c r="P104" s="465"/>
      <c r="Q104" s="465"/>
      <c r="R104" s="324"/>
      <c r="S104" s="324"/>
      <c r="T104" s="324"/>
      <c r="U104" s="324"/>
      <c r="V104" s="324"/>
      <c r="W104" s="324"/>
      <c r="X104" s="324"/>
      <c r="Y104" s="324"/>
      <c r="Z104" s="324"/>
      <c r="AA104" s="324"/>
      <c r="AB104" s="324"/>
      <c r="AC104" s="324"/>
      <c r="AD104" s="324"/>
      <c r="AE104" s="324"/>
      <c r="AF104" s="324"/>
      <c r="AG104" s="324"/>
      <c r="AH104" s="324"/>
      <c r="AI104" s="324"/>
      <c r="AJ104" s="324"/>
      <c r="AK104" s="324"/>
      <c r="AL104" s="324"/>
      <c r="AM104" s="324"/>
    </row>
    <row r="105" spans="1:39" x14ac:dyDescent="0.3">
      <c r="A105" s="324"/>
      <c r="B105" s="465"/>
      <c r="C105" s="463"/>
      <c r="D105" s="465"/>
      <c r="E105" s="351"/>
      <c r="F105" s="351"/>
      <c r="G105" s="351"/>
      <c r="H105" s="465"/>
      <c r="I105" s="465"/>
      <c r="J105" s="465"/>
      <c r="K105" s="465"/>
      <c r="L105" s="465"/>
      <c r="M105" s="465"/>
      <c r="N105" s="466"/>
      <c r="O105" s="467"/>
      <c r="P105" s="465"/>
      <c r="Q105" s="465"/>
      <c r="R105" s="324"/>
      <c r="S105" s="324"/>
      <c r="T105" s="324"/>
      <c r="U105" s="324"/>
      <c r="V105" s="324"/>
      <c r="W105" s="324"/>
      <c r="X105" s="324"/>
      <c r="Y105" s="324"/>
      <c r="Z105" s="324"/>
      <c r="AA105" s="324"/>
      <c r="AB105" s="324"/>
      <c r="AC105" s="324"/>
      <c r="AD105" s="324"/>
      <c r="AE105" s="324"/>
      <c r="AF105" s="324"/>
      <c r="AG105" s="324"/>
      <c r="AH105" s="324"/>
      <c r="AI105" s="324"/>
      <c r="AJ105" s="324"/>
      <c r="AK105" s="324"/>
      <c r="AL105" s="324"/>
      <c r="AM105" s="324"/>
    </row>
    <row r="106" spans="1:39" x14ac:dyDescent="0.3">
      <c r="A106" s="324"/>
      <c r="B106" s="465"/>
      <c r="C106" s="463"/>
      <c r="D106" s="465"/>
      <c r="E106" s="351"/>
      <c r="F106" s="351"/>
      <c r="G106" s="351"/>
      <c r="H106" s="465"/>
      <c r="I106" s="465"/>
      <c r="J106" s="465"/>
      <c r="K106" s="465"/>
      <c r="L106" s="465"/>
      <c r="M106" s="465"/>
      <c r="N106" s="466"/>
      <c r="O106" s="467"/>
      <c r="P106" s="465"/>
      <c r="Q106" s="465"/>
      <c r="R106" s="324"/>
      <c r="S106" s="324"/>
      <c r="T106" s="324"/>
      <c r="U106" s="324"/>
      <c r="V106" s="324"/>
      <c r="W106" s="324"/>
      <c r="X106" s="324"/>
      <c r="Y106" s="324"/>
      <c r="Z106" s="324"/>
      <c r="AA106" s="324"/>
      <c r="AB106" s="324"/>
      <c r="AC106" s="324"/>
      <c r="AD106" s="324"/>
      <c r="AE106" s="324"/>
      <c r="AF106" s="324"/>
      <c r="AG106" s="324"/>
      <c r="AH106" s="324"/>
      <c r="AI106" s="324"/>
      <c r="AJ106" s="324"/>
      <c r="AK106" s="324"/>
      <c r="AL106" s="324"/>
      <c r="AM106" s="324"/>
    </row>
    <row r="107" spans="1:39" x14ac:dyDescent="0.3">
      <c r="A107" s="324"/>
      <c r="B107" s="465"/>
      <c r="C107" s="463"/>
      <c r="D107" s="465"/>
      <c r="E107" s="351"/>
      <c r="F107" s="351"/>
      <c r="G107" s="351"/>
      <c r="H107" s="465"/>
      <c r="I107" s="465"/>
      <c r="J107" s="465"/>
      <c r="K107" s="465"/>
      <c r="L107" s="465"/>
      <c r="M107" s="465"/>
      <c r="N107" s="466"/>
      <c r="O107" s="467"/>
      <c r="P107" s="465"/>
      <c r="Q107" s="465"/>
      <c r="R107" s="324"/>
      <c r="S107" s="324"/>
      <c r="T107" s="324"/>
      <c r="U107" s="324"/>
      <c r="V107" s="324"/>
      <c r="W107" s="324"/>
      <c r="X107" s="324"/>
      <c r="Y107" s="324"/>
      <c r="Z107" s="324"/>
      <c r="AA107" s="324"/>
      <c r="AB107" s="324"/>
      <c r="AC107" s="324"/>
      <c r="AD107" s="324"/>
      <c r="AE107" s="324"/>
      <c r="AF107" s="324"/>
      <c r="AG107" s="324"/>
      <c r="AH107" s="324"/>
      <c r="AI107" s="324"/>
      <c r="AJ107" s="324"/>
      <c r="AK107" s="324"/>
      <c r="AL107" s="324"/>
      <c r="AM107" s="324"/>
    </row>
    <row r="108" spans="1:39" s="302" customFormat="1" x14ac:dyDescent="0.3">
      <c r="A108" s="468"/>
      <c r="B108" s="463"/>
      <c r="C108" s="463"/>
      <c r="D108" s="463"/>
      <c r="E108" s="347"/>
      <c r="F108" s="347"/>
      <c r="G108" s="347"/>
      <c r="H108" s="321"/>
      <c r="I108" s="463"/>
      <c r="J108" s="463"/>
      <c r="K108" s="463"/>
      <c r="L108" s="321"/>
      <c r="M108" s="463"/>
      <c r="N108" s="357"/>
      <c r="O108" s="469"/>
      <c r="P108" s="321"/>
      <c r="Q108" s="463"/>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row>
    <row r="109" spans="1:39" x14ac:dyDescent="0.3">
      <c r="A109" s="470"/>
      <c r="B109" s="465"/>
      <c r="C109" s="463"/>
      <c r="D109" s="465"/>
      <c r="E109" s="351"/>
      <c r="F109" s="351"/>
      <c r="G109" s="351"/>
      <c r="H109" s="312"/>
      <c r="I109" s="465"/>
      <c r="J109" s="465"/>
      <c r="K109" s="465"/>
      <c r="L109" s="312"/>
      <c r="M109" s="465"/>
      <c r="N109" s="466"/>
      <c r="O109" s="471"/>
      <c r="P109" s="312"/>
      <c r="Q109" s="465"/>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row>
    <row r="110" spans="1:39" x14ac:dyDescent="0.3">
      <c r="A110" s="470"/>
      <c r="B110" s="465"/>
      <c r="C110" s="463"/>
      <c r="D110" s="465"/>
      <c r="E110" s="351"/>
      <c r="F110" s="351"/>
      <c r="G110" s="351"/>
      <c r="H110" s="312"/>
      <c r="I110" s="465"/>
      <c r="J110" s="465"/>
      <c r="K110" s="465"/>
      <c r="L110" s="312"/>
      <c r="M110" s="465"/>
      <c r="N110" s="466"/>
      <c r="O110" s="471"/>
      <c r="P110" s="312"/>
      <c r="Q110" s="465"/>
      <c r="R110" s="324"/>
      <c r="S110" s="324"/>
      <c r="T110" s="324"/>
      <c r="U110" s="324"/>
      <c r="V110" s="324"/>
      <c r="W110" s="324"/>
      <c r="X110" s="324"/>
      <c r="Y110" s="324"/>
      <c r="Z110" s="324"/>
      <c r="AA110" s="324"/>
      <c r="AB110" s="324"/>
      <c r="AC110" s="324"/>
      <c r="AD110" s="324"/>
      <c r="AE110" s="324"/>
      <c r="AF110" s="324"/>
      <c r="AG110" s="324"/>
      <c r="AH110" s="324"/>
      <c r="AI110" s="324"/>
      <c r="AJ110" s="324"/>
      <c r="AK110" s="324"/>
      <c r="AL110" s="324"/>
      <c r="AM110" s="324"/>
    </row>
    <row r="111" spans="1:39" x14ac:dyDescent="0.3">
      <c r="A111" s="470"/>
      <c r="B111" s="465"/>
      <c r="C111" s="463"/>
      <c r="D111" s="465"/>
      <c r="E111" s="351"/>
      <c r="F111" s="351"/>
      <c r="G111" s="351"/>
      <c r="H111" s="312"/>
      <c r="I111" s="465"/>
      <c r="J111" s="465"/>
      <c r="K111" s="465"/>
      <c r="L111" s="312"/>
      <c r="M111" s="465"/>
      <c r="N111" s="466"/>
      <c r="O111" s="471"/>
      <c r="P111" s="312"/>
      <c r="Q111" s="465"/>
      <c r="R111" s="324"/>
      <c r="S111" s="324"/>
      <c r="T111" s="324"/>
      <c r="U111" s="324"/>
      <c r="V111" s="324"/>
      <c r="W111" s="324"/>
      <c r="X111" s="324"/>
      <c r="Y111" s="324"/>
      <c r="Z111" s="324"/>
      <c r="AA111" s="324"/>
      <c r="AB111" s="324"/>
      <c r="AC111" s="324"/>
      <c r="AD111" s="324"/>
      <c r="AE111" s="324"/>
      <c r="AF111" s="324"/>
      <c r="AG111" s="324"/>
      <c r="AH111" s="324"/>
      <c r="AI111" s="324"/>
      <c r="AJ111" s="324"/>
      <c r="AK111" s="324"/>
      <c r="AL111" s="324"/>
      <c r="AM111" s="324"/>
    </row>
    <row r="112" spans="1:39" x14ac:dyDescent="0.3">
      <c r="A112" s="470"/>
      <c r="B112" s="465"/>
      <c r="C112" s="463"/>
      <c r="D112" s="465"/>
      <c r="E112" s="351"/>
      <c r="F112" s="351"/>
      <c r="G112" s="351"/>
      <c r="H112" s="312"/>
      <c r="I112" s="465"/>
      <c r="J112" s="465"/>
      <c r="K112" s="465"/>
      <c r="L112" s="312"/>
      <c r="M112" s="465"/>
      <c r="N112" s="466"/>
      <c r="O112" s="471"/>
      <c r="P112" s="312"/>
      <c r="Q112" s="465"/>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row>
    <row r="113" spans="1:39" x14ac:dyDescent="0.3">
      <c r="A113" s="470"/>
      <c r="B113" s="465"/>
      <c r="C113" s="463"/>
      <c r="D113" s="465"/>
      <c r="E113" s="351"/>
      <c r="F113" s="351"/>
      <c r="G113" s="351"/>
      <c r="H113" s="312"/>
      <c r="I113" s="465"/>
      <c r="J113" s="465"/>
      <c r="K113" s="465"/>
      <c r="L113" s="312"/>
      <c r="M113" s="465"/>
      <c r="N113" s="466"/>
      <c r="O113" s="471"/>
      <c r="P113" s="312"/>
      <c r="Q113" s="465"/>
      <c r="R113" s="324"/>
      <c r="S113" s="324"/>
      <c r="T113" s="324"/>
      <c r="U113" s="324"/>
      <c r="V113" s="324"/>
      <c r="W113" s="324"/>
      <c r="X113" s="324"/>
      <c r="Y113" s="324"/>
      <c r="Z113" s="324"/>
      <c r="AA113" s="324"/>
      <c r="AB113" s="324"/>
      <c r="AC113" s="324"/>
      <c r="AD113" s="324"/>
      <c r="AE113" s="324"/>
      <c r="AF113" s="324"/>
      <c r="AG113" s="324"/>
      <c r="AH113" s="324"/>
      <c r="AI113" s="324"/>
      <c r="AJ113" s="324"/>
      <c r="AK113" s="324"/>
      <c r="AL113" s="324"/>
      <c r="AM113" s="324"/>
    </row>
    <row r="114" spans="1:39" s="302" customFormat="1" x14ac:dyDescent="0.3">
      <c r="A114" s="468"/>
      <c r="B114" s="463"/>
      <c r="C114" s="463"/>
      <c r="D114" s="463"/>
      <c r="E114" s="347"/>
      <c r="F114" s="347"/>
      <c r="G114" s="347"/>
      <c r="H114" s="321"/>
      <c r="I114" s="321"/>
      <c r="J114" s="321"/>
      <c r="K114" s="321"/>
      <c r="L114" s="321"/>
      <c r="M114" s="463"/>
      <c r="N114" s="357"/>
      <c r="O114" s="469"/>
      <c r="P114" s="321"/>
      <c r="Q114" s="463"/>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row>
    <row r="115" spans="1:39" x14ac:dyDescent="0.3">
      <c r="A115" s="470"/>
      <c r="B115" s="465"/>
      <c r="C115" s="463"/>
      <c r="D115" s="312"/>
      <c r="E115" s="351"/>
      <c r="F115" s="351"/>
      <c r="G115" s="351"/>
      <c r="H115" s="312"/>
      <c r="I115" s="312"/>
      <c r="J115" s="312"/>
      <c r="K115" s="312"/>
      <c r="L115" s="312"/>
      <c r="M115" s="465"/>
      <c r="N115" s="466"/>
      <c r="O115" s="471"/>
      <c r="P115" s="312"/>
      <c r="Q115" s="465"/>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324"/>
    </row>
    <row r="116" spans="1:39" x14ac:dyDescent="0.3">
      <c r="A116" s="470"/>
      <c r="B116" s="465"/>
      <c r="C116" s="463"/>
      <c r="D116" s="312"/>
      <c r="E116" s="351"/>
      <c r="F116" s="351"/>
      <c r="G116" s="351"/>
      <c r="H116" s="312"/>
      <c r="I116" s="312"/>
      <c r="J116" s="312"/>
      <c r="K116" s="312"/>
      <c r="L116" s="312"/>
      <c r="M116" s="465"/>
      <c r="N116" s="466"/>
      <c r="O116" s="471"/>
      <c r="P116" s="312"/>
      <c r="Q116" s="465"/>
      <c r="R116" s="324"/>
      <c r="S116" s="324"/>
      <c r="T116" s="324"/>
      <c r="U116" s="324"/>
      <c r="V116" s="324"/>
      <c r="W116" s="324"/>
      <c r="X116" s="324"/>
      <c r="Y116" s="324"/>
      <c r="Z116" s="324"/>
      <c r="AA116" s="324"/>
      <c r="AB116" s="324"/>
      <c r="AC116" s="324"/>
      <c r="AD116" s="324"/>
      <c r="AE116" s="324"/>
      <c r="AF116" s="324"/>
      <c r="AG116" s="324"/>
      <c r="AH116" s="324"/>
      <c r="AI116" s="324"/>
      <c r="AJ116" s="324"/>
      <c r="AK116" s="324"/>
      <c r="AL116" s="324"/>
      <c r="AM116" s="324"/>
    </row>
    <row r="117" spans="1:39" x14ac:dyDescent="0.3">
      <c r="A117" s="470"/>
      <c r="B117" s="465"/>
      <c r="C117" s="463"/>
      <c r="D117" s="312"/>
      <c r="E117" s="351"/>
      <c r="F117" s="351"/>
      <c r="G117" s="351"/>
      <c r="H117" s="312"/>
      <c r="I117" s="312"/>
      <c r="J117" s="312"/>
      <c r="K117" s="312"/>
      <c r="L117" s="312"/>
      <c r="M117" s="465"/>
      <c r="N117" s="466"/>
      <c r="O117" s="471"/>
      <c r="P117" s="312"/>
      <c r="Q117" s="465"/>
      <c r="R117" s="324"/>
      <c r="S117" s="324"/>
      <c r="T117" s="324"/>
      <c r="U117" s="324"/>
      <c r="V117" s="324"/>
      <c r="W117" s="324"/>
      <c r="X117" s="324"/>
      <c r="Y117" s="324"/>
      <c r="Z117" s="324"/>
      <c r="AA117" s="324"/>
      <c r="AB117" s="324"/>
      <c r="AC117" s="324"/>
      <c r="AD117" s="324"/>
      <c r="AE117" s="324"/>
      <c r="AF117" s="324"/>
      <c r="AG117" s="324"/>
      <c r="AH117" s="324"/>
      <c r="AI117" s="324"/>
      <c r="AJ117" s="324"/>
      <c r="AK117" s="324"/>
      <c r="AL117" s="324"/>
      <c r="AM117" s="324"/>
    </row>
    <row r="118" spans="1:39" x14ac:dyDescent="0.3">
      <c r="A118" s="470"/>
      <c r="B118" s="465"/>
      <c r="C118" s="463"/>
      <c r="D118" s="312"/>
      <c r="E118" s="351"/>
      <c r="F118" s="351"/>
      <c r="G118" s="351"/>
      <c r="H118" s="312"/>
      <c r="I118" s="312"/>
      <c r="J118" s="312"/>
      <c r="K118" s="312"/>
      <c r="L118" s="312"/>
      <c r="M118" s="465"/>
      <c r="N118" s="466"/>
      <c r="O118" s="471"/>
      <c r="P118" s="312"/>
      <c r="Q118" s="465"/>
      <c r="R118" s="324"/>
      <c r="S118" s="324"/>
      <c r="T118" s="324"/>
      <c r="U118" s="324"/>
      <c r="V118" s="324"/>
      <c r="W118" s="324"/>
      <c r="X118" s="324"/>
      <c r="Y118" s="324"/>
      <c r="Z118" s="324"/>
      <c r="AA118" s="324"/>
      <c r="AB118" s="324"/>
      <c r="AC118" s="324"/>
      <c r="AD118" s="324"/>
      <c r="AE118" s="324"/>
      <c r="AF118" s="324"/>
      <c r="AG118" s="324"/>
      <c r="AH118" s="324"/>
      <c r="AI118" s="324"/>
      <c r="AJ118" s="324"/>
      <c r="AK118" s="324"/>
      <c r="AL118" s="324"/>
      <c r="AM118" s="324"/>
    </row>
    <row r="119" spans="1:39" x14ac:dyDescent="0.3">
      <c r="A119" s="470"/>
      <c r="B119" s="465"/>
      <c r="C119" s="463"/>
      <c r="D119" s="312"/>
      <c r="E119" s="351"/>
      <c r="F119" s="351"/>
      <c r="G119" s="351"/>
      <c r="H119" s="312"/>
      <c r="I119" s="312"/>
      <c r="J119" s="312"/>
      <c r="K119" s="312"/>
      <c r="L119" s="312"/>
      <c r="M119" s="465"/>
      <c r="N119" s="466"/>
      <c r="O119" s="471"/>
      <c r="P119" s="312"/>
      <c r="Q119" s="465"/>
      <c r="R119" s="324"/>
      <c r="S119" s="324"/>
      <c r="T119" s="324"/>
      <c r="U119" s="324"/>
      <c r="V119" s="324"/>
      <c r="W119" s="324"/>
      <c r="X119" s="324"/>
      <c r="Y119" s="324"/>
      <c r="Z119" s="324"/>
      <c r="AA119" s="324"/>
      <c r="AB119" s="324"/>
      <c r="AC119" s="324"/>
      <c r="AD119" s="324"/>
      <c r="AE119" s="324"/>
      <c r="AF119" s="324"/>
      <c r="AG119" s="324"/>
      <c r="AH119" s="324"/>
      <c r="AI119" s="324"/>
      <c r="AJ119" s="324"/>
      <c r="AK119" s="324"/>
      <c r="AL119" s="324"/>
      <c r="AM119" s="324"/>
    </row>
    <row r="120" spans="1:39" s="302" customFormat="1" x14ac:dyDescent="0.3">
      <c r="A120" s="357"/>
      <c r="B120" s="463"/>
      <c r="C120" s="463"/>
      <c r="D120" s="463"/>
      <c r="E120" s="347"/>
      <c r="F120" s="347"/>
      <c r="G120" s="347"/>
      <c r="H120" s="463"/>
      <c r="I120" s="463"/>
      <c r="J120" s="463"/>
      <c r="K120" s="463"/>
      <c r="L120" s="463"/>
      <c r="M120" s="463"/>
      <c r="N120" s="357"/>
      <c r="O120" s="464"/>
      <c r="P120" s="463"/>
      <c r="Q120" s="463"/>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row>
    <row r="121" spans="1:39" x14ac:dyDescent="0.3">
      <c r="A121" s="324"/>
      <c r="B121" s="465"/>
      <c r="C121" s="463"/>
      <c r="D121" s="465"/>
      <c r="E121" s="351"/>
      <c r="F121" s="351"/>
      <c r="G121" s="351"/>
      <c r="H121" s="465"/>
      <c r="I121" s="465"/>
      <c r="J121" s="465"/>
      <c r="K121" s="465"/>
      <c r="L121" s="465"/>
      <c r="M121" s="465"/>
      <c r="N121" s="466"/>
      <c r="O121" s="467"/>
      <c r="P121" s="465"/>
      <c r="Q121" s="465"/>
      <c r="R121" s="324"/>
      <c r="S121" s="324"/>
      <c r="T121" s="324"/>
      <c r="U121" s="324"/>
      <c r="V121" s="324"/>
      <c r="W121" s="324"/>
      <c r="X121" s="324"/>
      <c r="Y121" s="324"/>
      <c r="Z121" s="324"/>
      <c r="AA121" s="324"/>
      <c r="AB121" s="324"/>
      <c r="AC121" s="324"/>
      <c r="AD121" s="324"/>
      <c r="AE121" s="324"/>
      <c r="AF121" s="324"/>
      <c r="AG121" s="324"/>
      <c r="AH121" s="324"/>
      <c r="AI121" s="324"/>
      <c r="AJ121" s="324"/>
      <c r="AK121" s="324"/>
      <c r="AL121" s="324"/>
      <c r="AM121" s="324"/>
    </row>
    <row r="122" spans="1:39" x14ac:dyDescent="0.3">
      <c r="A122" s="324"/>
      <c r="B122" s="465"/>
      <c r="C122" s="463"/>
      <c r="D122" s="465"/>
      <c r="E122" s="351"/>
      <c r="F122" s="351"/>
      <c r="G122" s="351"/>
      <c r="H122" s="465"/>
      <c r="I122" s="465"/>
      <c r="J122" s="465"/>
      <c r="K122" s="465"/>
      <c r="L122" s="465"/>
      <c r="M122" s="465"/>
      <c r="N122" s="466"/>
      <c r="O122" s="467"/>
      <c r="P122" s="465"/>
      <c r="Q122" s="465"/>
      <c r="R122" s="324"/>
      <c r="S122" s="324"/>
      <c r="T122" s="324"/>
      <c r="U122" s="324"/>
      <c r="V122" s="324"/>
      <c r="W122" s="324"/>
      <c r="X122" s="324"/>
      <c r="Y122" s="324"/>
      <c r="Z122" s="324"/>
      <c r="AA122" s="324"/>
      <c r="AB122" s="324"/>
      <c r="AC122" s="324"/>
      <c r="AD122" s="324"/>
      <c r="AE122" s="324"/>
      <c r="AF122" s="324"/>
      <c r="AG122" s="324"/>
      <c r="AH122" s="324"/>
      <c r="AI122" s="324"/>
      <c r="AJ122" s="324"/>
      <c r="AK122" s="324"/>
      <c r="AL122" s="324"/>
      <c r="AM122" s="324"/>
    </row>
    <row r="123" spans="1:39" x14ac:dyDescent="0.3">
      <c r="A123" s="324"/>
      <c r="B123" s="465"/>
      <c r="C123" s="463"/>
      <c r="D123" s="465"/>
      <c r="E123" s="351"/>
      <c r="F123" s="351"/>
      <c r="G123" s="351"/>
      <c r="H123" s="465"/>
      <c r="I123" s="465"/>
      <c r="J123" s="465"/>
      <c r="K123" s="465"/>
      <c r="L123" s="465"/>
      <c r="M123" s="465"/>
      <c r="N123" s="466"/>
      <c r="O123" s="467"/>
      <c r="P123" s="465"/>
      <c r="Q123" s="465"/>
      <c r="R123" s="324"/>
      <c r="S123" s="324"/>
      <c r="T123" s="324"/>
      <c r="U123" s="324"/>
      <c r="V123" s="324"/>
      <c r="W123" s="324"/>
      <c r="X123" s="324"/>
      <c r="Y123" s="324"/>
      <c r="Z123" s="324"/>
      <c r="AA123" s="324"/>
      <c r="AB123" s="324"/>
      <c r="AC123" s="324"/>
      <c r="AD123" s="324"/>
      <c r="AE123" s="324"/>
      <c r="AF123" s="324"/>
      <c r="AG123" s="324"/>
      <c r="AH123" s="324"/>
      <c r="AI123" s="324"/>
      <c r="AJ123" s="324"/>
      <c r="AK123" s="324"/>
      <c r="AL123" s="324"/>
      <c r="AM123" s="324"/>
    </row>
    <row r="124" spans="1:39" x14ac:dyDescent="0.3">
      <c r="A124" s="324"/>
      <c r="B124" s="465"/>
      <c r="C124" s="463"/>
      <c r="D124" s="465"/>
      <c r="E124" s="351"/>
      <c r="F124" s="351"/>
      <c r="G124" s="351"/>
      <c r="H124" s="465"/>
      <c r="I124" s="465"/>
      <c r="J124" s="465"/>
      <c r="K124" s="465"/>
      <c r="L124" s="465"/>
      <c r="M124" s="465"/>
      <c r="N124" s="466"/>
      <c r="O124" s="467"/>
      <c r="P124" s="465"/>
      <c r="Q124" s="465"/>
      <c r="R124" s="324"/>
      <c r="S124" s="324"/>
      <c r="T124" s="324"/>
      <c r="U124" s="324"/>
      <c r="V124" s="324"/>
      <c r="W124" s="324"/>
      <c r="X124" s="324"/>
      <c r="Y124" s="324"/>
      <c r="Z124" s="324"/>
      <c r="AA124" s="324"/>
      <c r="AB124" s="324"/>
      <c r="AC124" s="324"/>
      <c r="AD124" s="324"/>
      <c r="AE124" s="324"/>
      <c r="AF124" s="324"/>
      <c r="AG124" s="324"/>
      <c r="AH124" s="324"/>
      <c r="AI124" s="324"/>
      <c r="AJ124" s="324"/>
      <c r="AK124" s="324"/>
      <c r="AL124" s="324"/>
      <c r="AM124" s="324"/>
    </row>
    <row r="125" spans="1:39" x14ac:dyDescent="0.3">
      <c r="A125" s="324"/>
      <c r="B125" s="465"/>
      <c r="C125" s="463"/>
      <c r="D125" s="465"/>
      <c r="E125" s="351"/>
      <c r="F125" s="351"/>
      <c r="G125" s="351"/>
      <c r="H125" s="465"/>
      <c r="I125" s="465"/>
      <c r="J125" s="465"/>
      <c r="K125" s="465"/>
      <c r="L125" s="465"/>
      <c r="M125" s="465"/>
      <c r="N125" s="466"/>
      <c r="O125" s="467"/>
      <c r="P125" s="465"/>
      <c r="Q125" s="465"/>
      <c r="R125" s="324"/>
      <c r="S125" s="324"/>
      <c r="T125" s="324"/>
      <c r="U125" s="324"/>
      <c r="V125" s="324"/>
      <c r="W125" s="324"/>
      <c r="X125" s="324"/>
      <c r="Y125" s="324"/>
      <c r="Z125" s="324"/>
      <c r="AA125" s="324"/>
      <c r="AB125" s="324"/>
      <c r="AC125" s="324"/>
      <c r="AD125" s="324"/>
      <c r="AE125" s="324"/>
      <c r="AF125" s="324"/>
      <c r="AG125" s="324"/>
      <c r="AH125" s="324"/>
      <c r="AI125" s="324"/>
      <c r="AJ125" s="324"/>
      <c r="AK125" s="324"/>
      <c r="AL125" s="324"/>
      <c r="AM125" s="324"/>
    </row>
    <row r="126" spans="1:39" s="302" customFormat="1" x14ac:dyDescent="0.3">
      <c r="A126" s="357"/>
      <c r="B126" s="463"/>
      <c r="C126" s="463"/>
      <c r="D126" s="463"/>
      <c r="E126" s="347"/>
      <c r="F126" s="347"/>
      <c r="G126" s="347"/>
      <c r="H126" s="393"/>
      <c r="I126" s="463"/>
      <c r="J126" s="463"/>
      <c r="K126" s="463"/>
      <c r="L126" s="463"/>
      <c r="M126" s="463"/>
      <c r="N126" s="357"/>
      <c r="O126" s="464"/>
      <c r="P126" s="463"/>
      <c r="Q126" s="463"/>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row>
    <row r="127" spans="1:39" x14ac:dyDescent="0.3">
      <c r="A127" s="324"/>
      <c r="B127" s="465"/>
      <c r="C127" s="463"/>
      <c r="D127" s="465"/>
      <c r="E127" s="351"/>
      <c r="F127" s="351"/>
      <c r="G127" s="351"/>
      <c r="H127" s="465"/>
      <c r="I127" s="465"/>
      <c r="J127" s="465"/>
      <c r="K127" s="465"/>
      <c r="L127" s="465"/>
      <c r="M127" s="465"/>
      <c r="N127" s="466"/>
      <c r="O127" s="467"/>
      <c r="P127" s="465"/>
      <c r="Q127" s="465"/>
      <c r="R127" s="324"/>
      <c r="S127" s="324"/>
      <c r="T127" s="324"/>
      <c r="U127" s="324"/>
      <c r="V127" s="324"/>
      <c r="W127" s="324"/>
      <c r="X127" s="324"/>
      <c r="Y127" s="324"/>
      <c r="Z127" s="324"/>
      <c r="AA127" s="324"/>
      <c r="AB127" s="324"/>
      <c r="AC127" s="324"/>
      <c r="AD127" s="324"/>
      <c r="AE127" s="324"/>
      <c r="AF127" s="324"/>
      <c r="AG127" s="324"/>
      <c r="AH127" s="324"/>
      <c r="AI127" s="324"/>
      <c r="AJ127" s="324"/>
      <c r="AK127" s="324"/>
      <c r="AL127" s="324"/>
      <c r="AM127" s="324"/>
    </row>
    <row r="128" spans="1:39" x14ac:dyDescent="0.3">
      <c r="A128" s="324"/>
      <c r="B128" s="465"/>
      <c r="C128" s="463"/>
      <c r="D128" s="465"/>
      <c r="E128" s="351"/>
      <c r="F128" s="351"/>
      <c r="G128" s="351"/>
      <c r="H128" s="465"/>
      <c r="I128" s="465"/>
      <c r="J128" s="465"/>
      <c r="K128" s="465"/>
      <c r="L128" s="465"/>
      <c r="M128" s="465"/>
      <c r="N128" s="466"/>
      <c r="O128" s="467"/>
      <c r="P128" s="465"/>
      <c r="Q128" s="465"/>
      <c r="R128" s="324"/>
      <c r="S128" s="324"/>
      <c r="T128" s="324"/>
      <c r="U128" s="324"/>
      <c r="V128" s="324"/>
      <c r="W128" s="324"/>
      <c r="X128" s="324"/>
      <c r="Y128" s="324"/>
      <c r="Z128" s="324"/>
      <c r="AA128" s="324"/>
      <c r="AB128" s="324"/>
      <c r="AC128" s="324"/>
      <c r="AD128" s="324"/>
      <c r="AE128" s="324"/>
      <c r="AF128" s="324"/>
      <c r="AG128" s="324"/>
      <c r="AH128" s="324"/>
      <c r="AI128" s="324"/>
      <c r="AJ128" s="324"/>
      <c r="AK128" s="324"/>
      <c r="AL128" s="324"/>
      <c r="AM128" s="324"/>
    </row>
    <row r="129" spans="1:42" x14ac:dyDescent="0.3">
      <c r="A129" s="324"/>
      <c r="B129" s="465"/>
      <c r="C129" s="463"/>
      <c r="D129" s="465"/>
      <c r="E129" s="351"/>
      <c r="F129" s="351"/>
      <c r="G129" s="351"/>
      <c r="H129" s="465"/>
      <c r="I129" s="465"/>
      <c r="J129" s="465"/>
      <c r="K129" s="465"/>
      <c r="L129" s="465"/>
      <c r="M129" s="465"/>
      <c r="N129" s="466"/>
      <c r="O129" s="467"/>
      <c r="P129" s="465"/>
      <c r="Q129" s="465"/>
      <c r="R129" s="324"/>
      <c r="S129" s="324"/>
      <c r="T129" s="324"/>
      <c r="U129" s="324"/>
      <c r="V129" s="324"/>
      <c r="W129" s="324"/>
      <c r="X129" s="324"/>
      <c r="Y129" s="324"/>
      <c r="Z129" s="324"/>
      <c r="AA129" s="324"/>
      <c r="AB129" s="324"/>
      <c r="AC129" s="324"/>
      <c r="AD129" s="324"/>
      <c r="AE129" s="324"/>
      <c r="AF129" s="324"/>
      <c r="AG129" s="324"/>
      <c r="AH129" s="324"/>
      <c r="AI129" s="324"/>
      <c r="AJ129" s="324"/>
      <c r="AK129" s="324"/>
      <c r="AL129" s="324"/>
      <c r="AM129" s="324"/>
    </row>
    <row r="130" spans="1:42" x14ac:dyDescent="0.3">
      <c r="A130" s="324"/>
      <c r="B130" s="465"/>
      <c r="C130" s="463"/>
      <c r="D130" s="465"/>
      <c r="E130" s="351"/>
      <c r="F130" s="351"/>
      <c r="G130" s="351"/>
      <c r="H130" s="465"/>
      <c r="I130" s="465"/>
      <c r="J130" s="465"/>
      <c r="K130" s="465"/>
      <c r="L130" s="465"/>
      <c r="M130" s="465"/>
      <c r="N130" s="466"/>
      <c r="O130" s="467"/>
      <c r="P130" s="465"/>
      <c r="Q130" s="465"/>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324"/>
      <c r="AM130" s="324"/>
    </row>
    <row r="131" spans="1:42" x14ac:dyDescent="0.3">
      <c r="A131" s="324"/>
      <c r="B131" s="465"/>
      <c r="C131" s="463"/>
      <c r="D131" s="465"/>
      <c r="E131" s="351"/>
      <c r="F131" s="351"/>
      <c r="G131" s="351"/>
      <c r="H131" s="465"/>
      <c r="I131" s="465"/>
      <c r="J131" s="465"/>
      <c r="K131" s="465"/>
      <c r="L131" s="465"/>
      <c r="M131" s="465"/>
      <c r="N131" s="466"/>
      <c r="O131" s="467"/>
      <c r="P131" s="465"/>
      <c r="Q131" s="465"/>
      <c r="R131" s="324"/>
      <c r="S131" s="324"/>
      <c r="T131" s="324"/>
      <c r="U131" s="324"/>
      <c r="V131" s="324"/>
      <c r="W131" s="324"/>
      <c r="X131" s="324"/>
      <c r="Y131" s="324"/>
      <c r="Z131" s="324"/>
      <c r="AA131" s="324"/>
      <c r="AB131" s="324"/>
      <c r="AC131" s="324"/>
      <c r="AD131" s="324"/>
      <c r="AE131" s="324"/>
      <c r="AF131" s="324"/>
      <c r="AG131" s="324"/>
      <c r="AH131" s="324"/>
      <c r="AI131" s="324"/>
      <c r="AJ131" s="324"/>
      <c r="AK131" s="324"/>
      <c r="AL131" s="324"/>
      <c r="AM131" s="324"/>
    </row>
    <row r="132" spans="1:42" x14ac:dyDescent="0.3">
      <c r="A132" s="324"/>
      <c r="B132" s="324"/>
      <c r="C132" s="324"/>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4"/>
      <c r="AL132" s="324"/>
      <c r="AM132" s="324"/>
      <c r="AN132" s="407"/>
      <c r="AO132" s="407"/>
      <c r="AP132" s="407"/>
    </row>
    <row r="133" spans="1:42" x14ac:dyDescent="0.3">
      <c r="A133" s="324"/>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4"/>
      <c r="AL133" s="324"/>
      <c r="AM133" s="324"/>
      <c r="AN133" s="407"/>
      <c r="AO133" s="407"/>
      <c r="AP133" s="407"/>
    </row>
    <row r="134" spans="1:42" x14ac:dyDescent="0.3">
      <c r="A134" s="324"/>
      <c r="B134" s="357"/>
      <c r="C134" s="324"/>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4"/>
      <c r="AL134" s="324"/>
      <c r="AM134" s="324"/>
      <c r="AN134" s="407"/>
      <c r="AO134" s="407"/>
      <c r="AP134" s="407"/>
    </row>
    <row r="135" spans="1:42" x14ac:dyDescent="0.3">
      <c r="A135" s="324"/>
      <c r="B135" s="447"/>
      <c r="C135" s="447"/>
      <c r="D135" s="447"/>
      <c r="E135" s="447"/>
      <c r="F135" s="447"/>
      <c r="G135" s="447"/>
      <c r="H135" s="447"/>
      <c r="I135" s="447"/>
      <c r="J135" s="447"/>
      <c r="K135" s="447"/>
      <c r="L135" s="447"/>
      <c r="M135" s="447"/>
      <c r="N135" s="447"/>
      <c r="O135" s="447"/>
      <c r="P135" s="447"/>
      <c r="Q135" s="447"/>
      <c r="R135" s="447"/>
      <c r="S135" s="447"/>
      <c r="T135" s="447"/>
      <c r="U135" s="447"/>
      <c r="V135" s="447"/>
      <c r="W135" s="447"/>
      <c r="X135" s="447"/>
      <c r="Y135" s="447"/>
      <c r="Z135" s="447"/>
      <c r="AA135" s="447"/>
      <c r="AB135" s="447"/>
      <c r="AC135" s="447"/>
      <c r="AD135" s="447"/>
      <c r="AE135" s="447"/>
      <c r="AF135" s="447"/>
      <c r="AG135" s="447"/>
      <c r="AH135" s="447"/>
      <c r="AI135" s="447"/>
      <c r="AJ135" s="447"/>
      <c r="AK135" s="447"/>
      <c r="AL135" s="447"/>
      <c r="AM135" s="447"/>
      <c r="AN135" s="447"/>
      <c r="AO135" s="447"/>
      <c r="AP135" s="447"/>
    </row>
    <row r="136" spans="1:42" x14ac:dyDescent="0.3">
      <c r="A136" s="324"/>
      <c r="B136" s="465"/>
      <c r="C136" s="324"/>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4"/>
      <c r="AL136" s="324"/>
      <c r="AM136" s="324"/>
      <c r="AN136" s="407"/>
      <c r="AO136" s="407"/>
      <c r="AP136" s="407"/>
    </row>
    <row r="137" spans="1:42" x14ac:dyDescent="0.3">
      <c r="A137" s="324"/>
      <c r="B137" s="465"/>
      <c r="C137" s="324"/>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4"/>
      <c r="AL137" s="324"/>
      <c r="AM137" s="324"/>
      <c r="AN137" s="407"/>
      <c r="AO137" s="407"/>
      <c r="AP137" s="407"/>
    </row>
    <row r="138" spans="1:42" x14ac:dyDescent="0.3">
      <c r="A138" s="324"/>
      <c r="B138" s="465"/>
      <c r="C138" s="324"/>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4"/>
      <c r="AL138" s="324"/>
      <c r="AM138" s="324"/>
      <c r="AN138" s="407"/>
      <c r="AO138" s="407"/>
      <c r="AP138" s="407"/>
    </row>
    <row r="139" spans="1:42" x14ac:dyDescent="0.3">
      <c r="A139" s="324"/>
      <c r="B139" s="465"/>
      <c r="C139" s="324"/>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4"/>
      <c r="AL139" s="324"/>
      <c r="AM139" s="324"/>
      <c r="AN139" s="407"/>
      <c r="AO139" s="407"/>
      <c r="AP139" s="407"/>
    </row>
    <row r="140" spans="1:42" x14ac:dyDescent="0.3">
      <c r="A140" s="324"/>
      <c r="B140" s="465"/>
      <c r="C140" s="324"/>
      <c r="D140" s="324"/>
      <c r="E140" s="324"/>
      <c r="F140" s="324"/>
      <c r="G140" s="465"/>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4"/>
      <c r="AL140" s="324"/>
      <c r="AM140" s="324"/>
      <c r="AN140" s="407"/>
      <c r="AO140" s="407"/>
      <c r="AP140" s="407"/>
    </row>
    <row r="141" spans="1:42" x14ac:dyDescent="0.3">
      <c r="A141" s="324"/>
      <c r="B141" s="324"/>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407"/>
      <c r="AO141" s="407"/>
      <c r="AP141" s="407"/>
    </row>
    <row r="142" spans="1:42" x14ac:dyDescent="0.3">
      <c r="A142" s="324"/>
      <c r="B142" s="324"/>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407"/>
      <c r="AO142" s="407"/>
      <c r="AP142" s="407"/>
    </row>
    <row r="143" spans="1:42" x14ac:dyDescent="0.3">
      <c r="A143" s="324"/>
      <c r="B143" s="357"/>
      <c r="C143" s="324"/>
      <c r="D143" s="324"/>
      <c r="E143" s="324"/>
      <c r="F143" s="324"/>
      <c r="G143" s="324"/>
      <c r="H143" s="324"/>
      <c r="I143" s="324"/>
      <c r="J143" s="859"/>
      <c r="K143" s="859"/>
      <c r="L143" s="859"/>
      <c r="M143" s="859"/>
      <c r="N143" s="859"/>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row>
    <row r="144" spans="1:42" ht="9.75" customHeight="1" x14ac:dyDescent="0.3">
      <c r="A144" s="324"/>
      <c r="B144" s="857"/>
      <c r="C144" s="857"/>
      <c r="D144" s="857"/>
      <c r="E144" s="857"/>
      <c r="F144" s="857"/>
      <c r="G144" s="857"/>
      <c r="H144" s="856"/>
      <c r="I144" s="856"/>
      <c r="J144" s="857"/>
      <c r="K144" s="857"/>
      <c r="L144" s="857"/>
      <c r="M144" s="856"/>
      <c r="N144" s="856"/>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row>
    <row r="145" spans="1:39" ht="10.5" customHeight="1" x14ac:dyDescent="0.3">
      <c r="A145" s="324"/>
      <c r="B145" s="857"/>
      <c r="C145" s="857"/>
      <c r="D145" s="857"/>
      <c r="E145" s="857"/>
      <c r="F145" s="857"/>
      <c r="G145" s="857"/>
      <c r="H145" s="856"/>
      <c r="I145" s="856"/>
      <c r="J145" s="857"/>
      <c r="K145" s="857"/>
      <c r="L145" s="857"/>
      <c r="M145" s="856"/>
      <c r="N145" s="856"/>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row>
    <row r="146" spans="1:39" x14ac:dyDescent="0.3">
      <c r="A146" s="324"/>
      <c r="B146" s="465"/>
      <c r="C146" s="472"/>
      <c r="D146" s="472"/>
      <c r="E146" s="315"/>
      <c r="F146" s="315"/>
      <c r="G146" s="315"/>
      <c r="H146" s="315"/>
      <c r="I146" s="315"/>
      <c r="J146" s="315"/>
      <c r="K146" s="315"/>
      <c r="L146" s="315"/>
      <c r="M146" s="315"/>
      <c r="N146" s="315"/>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row>
    <row r="147" spans="1:39" x14ac:dyDescent="0.3">
      <c r="J147" s="324"/>
    </row>
  </sheetData>
  <sheetProtection algorithmName="SHA-512" hashValue="BbxmnKJ1AtlZkDI4FWN4NTDCWfiyMS9c8J8yLgQrP3XbVfFQhNam8HepHv9fZB8K/uJRIgseLFrYOB00XWRzMg==" saltValue="+A2LaF4dvO197VyPvlp4Qg==" spinCount="100000" sheet="1" objects="1" scenarios="1" selectLockedCells="1"/>
  <mergeCells count="36">
    <mergeCell ref="L82:N82"/>
    <mergeCell ref="G83:G84"/>
    <mergeCell ref="B3:B4"/>
    <mergeCell ref="B13:C14"/>
    <mergeCell ref="B26:C27"/>
    <mergeCell ref="B81:C82"/>
    <mergeCell ref="G82:I82"/>
    <mergeCell ref="N83:N84"/>
    <mergeCell ref="B144:B145"/>
    <mergeCell ref="C144:C145"/>
    <mergeCell ref="D144:D145"/>
    <mergeCell ref="E144:E145"/>
    <mergeCell ref="F144:F145"/>
    <mergeCell ref="O83:O84"/>
    <mergeCell ref="P83:P84"/>
    <mergeCell ref="B99:C100"/>
    <mergeCell ref="J143:N143"/>
    <mergeCell ref="H83:H84"/>
    <mergeCell ref="I83:I84"/>
    <mergeCell ref="J83:J84"/>
    <mergeCell ref="K83:K84"/>
    <mergeCell ref="L83:L84"/>
    <mergeCell ref="M83:M84"/>
    <mergeCell ref="B83:B84"/>
    <mergeCell ref="C83:C84"/>
    <mergeCell ref="D83:D84"/>
    <mergeCell ref="E83:E84"/>
    <mergeCell ref="F83:F84"/>
    <mergeCell ref="M144:M145"/>
    <mergeCell ref="N144:N145"/>
    <mergeCell ref="G144:G145"/>
    <mergeCell ref="H144:H145"/>
    <mergeCell ref="I144:I145"/>
    <mergeCell ref="J144:J145"/>
    <mergeCell ref="K144:K145"/>
    <mergeCell ref="L144:L145"/>
  </mergeCells>
  <dataValidations count="2">
    <dataValidation type="list" allowBlank="1" showInputMessage="1" showErrorMessage="1" sqref="D102:D131" xr:uid="{AA28DE40-E6A9-4A97-9DEA-F943B667A6CF}">
      <formula1>$C$1:$C$2</formula1>
    </dataValidation>
    <dataValidation type="list" allowBlank="1" showInputMessage="1" showErrorMessage="1" sqref="Q102:Q131" xr:uid="{8B1C5317-0614-46C5-9699-B577A54F4CE1}">
      <formula1>$P$1:$P$2</formula1>
    </dataValidation>
  </dataValidation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7B7E-65B4-4AFB-ACCF-4C9C6481D464}">
  <dimension ref="A1:AW147"/>
  <sheetViews>
    <sheetView zoomScale="87" workbookViewId="0">
      <selection activeCell="B58" sqref="B58:D59"/>
    </sheetView>
  </sheetViews>
  <sheetFormatPr defaultRowHeight="14.4" x14ac:dyDescent="0.3"/>
  <cols>
    <col min="3" max="3" width="11.5546875" customWidth="1"/>
    <col min="6" max="6" width="8.5546875" customWidth="1"/>
    <col min="7" max="7" width="8" customWidth="1"/>
    <col min="8" max="8" width="7.5546875" customWidth="1"/>
    <col min="9" max="9" width="8" customWidth="1"/>
    <col min="14" max="15" width="9.109375" customWidth="1"/>
    <col min="16" max="16" width="10.44140625" customWidth="1"/>
    <col min="18" max="18" width="10.5546875" customWidth="1"/>
    <col min="19" max="19" width="10.44140625" customWidth="1"/>
    <col min="21" max="21" width="10.109375" customWidth="1"/>
    <col min="22" max="22" width="10.5546875" customWidth="1"/>
    <col min="31" max="31" width="9.44140625" customWidth="1"/>
    <col min="32" max="32" width="9.88671875" customWidth="1"/>
    <col min="34" max="34" width="10.44140625" customWidth="1"/>
    <col min="35" max="35" width="10.109375" customWidth="1"/>
  </cols>
  <sheetData>
    <row r="1" spans="2:49" x14ac:dyDescent="0.3">
      <c r="V1" s="324"/>
      <c r="W1" s="324"/>
      <c r="X1" s="324"/>
      <c r="Y1" s="324"/>
      <c r="Z1" s="324"/>
      <c r="AA1" s="324"/>
      <c r="AB1" s="324"/>
      <c r="AC1" s="324"/>
      <c r="AD1" s="324"/>
      <c r="AE1" s="324"/>
      <c r="AF1" s="324"/>
      <c r="AG1" s="324"/>
      <c r="AH1" s="324"/>
      <c r="AI1" s="324"/>
    </row>
    <row r="2" spans="2:49" x14ac:dyDescent="0.3">
      <c r="V2" s="324"/>
      <c r="W2" s="324"/>
      <c r="X2" s="324"/>
      <c r="Y2" s="324"/>
      <c r="Z2" s="324"/>
      <c r="AA2" s="324"/>
      <c r="AB2" s="324"/>
      <c r="AC2" s="324"/>
      <c r="AD2" s="324"/>
      <c r="AE2" s="324"/>
      <c r="AF2" s="324"/>
      <c r="AG2" s="324"/>
      <c r="AH2" s="324"/>
      <c r="AI2" s="324"/>
    </row>
    <row r="3" spans="2:49" x14ac:dyDescent="0.3">
      <c r="B3" s="858" t="s">
        <v>607</v>
      </c>
      <c r="V3" s="324"/>
      <c r="W3" s="324"/>
      <c r="X3" s="324"/>
      <c r="Y3" s="324"/>
      <c r="Z3" s="324"/>
      <c r="AA3" s="324"/>
      <c r="AB3" s="324"/>
      <c r="AC3" s="324"/>
      <c r="AD3" s="324"/>
      <c r="AE3" s="324"/>
      <c r="AF3" s="324"/>
      <c r="AG3" s="324"/>
      <c r="AH3" s="324"/>
      <c r="AI3" s="324"/>
    </row>
    <row r="4" spans="2:49" x14ac:dyDescent="0.3">
      <c r="B4" s="858"/>
      <c r="V4" s="324"/>
      <c r="W4" s="324"/>
      <c r="X4" s="324"/>
      <c r="Y4" s="324"/>
      <c r="Z4" s="324"/>
      <c r="AA4" s="324"/>
      <c r="AB4" s="324"/>
      <c r="AC4" s="324"/>
      <c r="AD4" s="324"/>
      <c r="AE4" s="324"/>
      <c r="AF4" s="324"/>
      <c r="AG4" s="324"/>
      <c r="AH4" s="324"/>
      <c r="AI4" s="324"/>
    </row>
    <row r="5" spans="2:49" ht="17.25" customHeight="1" x14ac:dyDescent="0.3">
      <c r="B5" s="337" t="s">
        <v>608</v>
      </c>
      <c r="C5" s="337" t="s">
        <v>609</v>
      </c>
      <c r="D5" s="337" t="s">
        <v>610</v>
      </c>
      <c r="E5" s="338" t="s">
        <v>611</v>
      </c>
      <c r="F5" s="338" t="s">
        <v>612</v>
      </c>
      <c r="G5" s="338" t="s">
        <v>613</v>
      </c>
      <c r="H5" s="339" t="s">
        <v>614</v>
      </c>
      <c r="I5" s="339" t="s">
        <v>646</v>
      </c>
      <c r="J5" s="338" t="s">
        <v>615</v>
      </c>
      <c r="K5" s="340" t="s">
        <v>616</v>
      </c>
      <c r="L5" s="340" t="s">
        <v>617</v>
      </c>
      <c r="M5" s="340" t="s">
        <v>618</v>
      </c>
      <c r="N5" s="340" t="s">
        <v>765</v>
      </c>
      <c r="O5" s="340" t="s">
        <v>773</v>
      </c>
      <c r="V5" s="324"/>
      <c r="W5" s="325"/>
      <c r="X5" s="325"/>
      <c r="Y5" s="325"/>
      <c r="Z5" s="326"/>
      <c r="AA5" s="326"/>
      <c r="AB5" s="326"/>
      <c r="AC5" s="327"/>
      <c r="AD5" s="327"/>
      <c r="AE5" s="326"/>
      <c r="AF5" s="328"/>
      <c r="AG5" s="328"/>
      <c r="AH5" s="328"/>
      <c r="AI5" s="324"/>
    </row>
    <row r="6" spans="2:49" x14ac:dyDescent="0.3">
      <c r="B6" s="329">
        <f>Intro!$E$69</f>
        <v>0</v>
      </c>
      <c r="C6" s="329" t="s">
        <v>619</v>
      </c>
      <c r="D6" s="329" t="s">
        <v>620</v>
      </c>
      <c r="E6" s="330" t="s">
        <v>621</v>
      </c>
      <c r="F6" s="330" t="s">
        <v>622</v>
      </c>
      <c r="G6" s="330"/>
      <c r="H6" s="331" t="str">
        <f>_xlfn.TEXTJOIN(", ", TRUE,IF(Public!$K$17="X","Retailer",""),IF(Public!$K$18="X","Distributor",""),IF(Public!$K$19="X","End User",""),IF(Public!$K$21="X","End User",""))</f>
        <v/>
      </c>
      <c r="I6" s="332" t="s">
        <v>570</v>
      </c>
      <c r="J6" s="360" t="s">
        <v>623</v>
      </c>
      <c r="K6" s="363" t="str">
        <f>Confirm!E60</f>
        <v>-</v>
      </c>
      <c r="L6" s="333" t="str">
        <f>Confirm!F60</f>
        <v>-</v>
      </c>
      <c r="M6" s="333" t="str">
        <f>Confirm!G60</f>
        <v>-</v>
      </c>
      <c r="N6" s="333" t="str">
        <f>Confirm!H60</f>
        <v>-</v>
      </c>
      <c r="O6" s="333" t="str">
        <f>Confirm!I60</f>
        <v>-</v>
      </c>
      <c r="V6" s="324"/>
      <c r="W6" s="329"/>
      <c r="X6" s="329"/>
      <c r="Y6" s="329"/>
      <c r="Z6" s="330"/>
      <c r="AA6" s="330"/>
      <c r="AB6" s="330"/>
      <c r="AC6" s="331"/>
      <c r="AD6" s="332"/>
      <c r="AE6" s="330"/>
      <c r="AF6" s="333"/>
      <c r="AG6" s="333"/>
      <c r="AH6" s="333"/>
      <c r="AI6" s="324"/>
    </row>
    <row r="7" spans="2:49" x14ac:dyDescent="0.3">
      <c r="B7" s="329">
        <f>Intro!$E$69</f>
        <v>0</v>
      </c>
      <c r="C7" s="334" t="str">
        <f>C6</f>
        <v>Importer   |  Importateurs</v>
      </c>
      <c r="D7" s="334" t="s">
        <v>620</v>
      </c>
      <c r="E7" s="335" t="s">
        <v>624</v>
      </c>
      <c r="F7" s="335" t="s">
        <v>625</v>
      </c>
      <c r="G7" s="335"/>
      <c r="H7" s="331" t="str">
        <f>_xlfn.TEXTJOIN(", ", TRUE,IF(Public!$K$17="X","Retailer",""),IF(Public!$K$18="X","Distributor",""),IF(Public!$K$19="X","End User",""),IF(Public!$K$21="X","End User",""))</f>
        <v/>
      </c>
      <c r="I7" s="332" t="s">
        <v>570</v>
      </c>
      <c r="J7" s="361" t="s">
        <v>623</v>
      </c>
      <c r="K7" s="363" t="str">
        <f>Confirm!E61</f>
        <v>-</v>
      </c>
      <c r="L7" s="333" t="str">
        <f>Confirm!F61</f>
        <v>-</v>
      </c>
      <c r="M7" s="333" t="str">
        <f>Confirm!G61</f>
        <v>-</v>
      </c>
      <c r="N7" s="333" t="str">
        <f>Confirm!H61</f>
        <v>-</v>
      </c>
      <c r="O7" s="333" t="str">
        <f>Confirm!I61</f>
        <v>-</v>
      </c>
      <c r="V7" s="324"/>
      <c r="W7" s="329"/>
      <c r="X7" s="334"/>
      <c r="Y7" s="334"/>
      <c r="Z7" s="335"/>
      <c r="AA7" s="335"/>
      <c r="AB7" s="335"/>
      <c r="AC7" s="334"/>
      <c r="AD7" s="332"/>
      <c r="AE7" s="335"/>
      <c r="AF7" s="336"/>
      <c r="AG7" s="336"/>
      <c r="AH7" s="336"/>
      <c r="AI7" s="324"/>
    </row>
    <row r="8" spans="2:49" x14ac:dyDescent="0.3">
      <c r="B8" s="329">
        <f>Intro!$E$69</f>
        <v>0</v>
      </c>
      <c r="C8" s="334" t="str">
        <f>C7</f>
        <v>Importer   |  Importateurs</v>
      </c>
      <c r="D8" s="334" t="s">
        <v>620</v>
      </c>
      <c r="E8" s="335" t="s">
        <v>626</v>
      </c>
      <c r="F8" s="335" t="s">
        <v>625</v>
      </c>
      <c r="G8" s="335">
        <f>Confirm!E79</f>
        <v>0</v>
      </c>
      <c r="H8" s="331" t="str">
        <f>_xlfn.TEXTJOIN(", ", TRUE,IF(Public!$K$17="X","Retailer",""),IF(Public!$K$18="X","Distributor",""),IF(Public!$K$19="X","End User",""),IF(Public!$K$21="X","End User",""))</f>
        <v/>
      </c>
      <c r="I8" s="332" t="s">
        <v>570</v>
      </c>
      <c r="J8" s="361" t="s">
        <v>623</v>
      </c>
      <c r="K8" s="363" t="str">
        <f>Confirm!E62</f>
        <v>-</v>
      </c>
      <c r="L8" s="333" t="str">
        <f>Confirm!F62</f>
        <v>-</v>
      </c>
      <c r="M8" s="333" t="str">
        <f>Confirm!G62</f>
        <v>-</v>
      </c>
      <c r="N8" s="333" t="str">
        <f>Confirm!H62</f>
        <v>-</v>
      </c>
      <c r="O8" s="333" t="str">
        <f>Confirm!I62</f>
        <v>-</v>
      </c>
      <c r="V8" s="324"/>
      <c r="W8" s="329"/>
      <c r="X8" s="334"/>
      <c r="Y8" s="334"/>
      <c r="Z8" s="335"/>
      <c r="AA8" s="335"/>
      <c r="AB8" s="335"/>
      <c r="AC8" s="334"/>
      <c r="AD8" s="332"/>
      <c r="AE8" s="335"/>
      <c r="AF8" s="336"/>
      <c r="AG8" s="336"/>
      <c r="AH8" s="336"/>
      <c r="AI8" s="324"/>
    </row>
    <row r="9" spans="2:49" x14ac:dyDescent="0.3">
      <c r="B9" s="329">
        <f>Intro!$E$69</f>
        <v>0</v>
      </c>
      <c r="C9" s="334" t="str">
        <f t="shared" ref="C9:C11" si="0">C8</f>
        <v>Importer   |  Importateurs</v>
      </c>
      <c r="D9" s="334" t="s">
        <v>627</v>
      </c>
      <c r="E9" s="335" t="s">
        <v>628</v>
      </c>
      <c r="F9" s="335" t="s">
        <v>623</v>
      </c>
      <c r="G9" s="335"/>
      <c r="H9" s="331" t="str">
        <f>_xlfn.TEXTJOIN(", ", TRUE,IF(Public!$K$17="X","Retailer",""),IF(Public!$K$18="X","Distributor",""),IF(Public!$K$19="X","End User",""),IF(Public!$K$21="X","End User",""))</f>
        <v/>
      </c>
      <c r="I9" s="332" t="s">
        <v>570</v>
      </c>
      <c r="J9" s="361" t="s">
        <v>767</v>
      </c>
      <c r="K9" s="365" t="str">
        <f>Confirm!E66</f>
        <v>-</v>
      </c>
      <c r="L9" s="336" t="str">
        <f>Confirm!F66</f>
        <v>-</v>
      </c>
      <c r="M9" s="336" t="str">
        <f>Confirm!G66</f>
        <v>-</v>
      </c>
      <c r="N9" s="336" t="str">
        <f>Confirm!H66</f>
        <v>-</v>
      </c>
      <c r="O9" s="336" t="str">
        <f>Confirm!I66</f>
        <v>-</v>
      </c>
      <c r="U9" s="10"/>
      <c r="V9" s="324"/>
      <c r="W9" s="329"/>
      <c r="X9" s="334"/>
      <c r="Y9" s="334"/>
      <c r="Z9" s="335"/>
      <c r="AA9" s="335"/>
      <c r="AB9" s="335"/>
      <c r="AC9" s="334"/>
      <c r="AD9" s="332"/>
      <c r="AE9" s="335"/>
      <c r="AF9" s="336"/>
      <c r="AG9" s="336"/>
      <c r="AH9" s="336"/>
      <c r="AI9" s="324"/>
    </row>
    <row r="10" spans="2:49" x14ac:dyDescent="0.3">
      <c r="B10" s="329">
        <f>Intro!$E$69</f>
        <v>0</v>
      </c>
      <c r="C10" s="334" t="str">
        <f t="shared" si="0"/>
        <v>Importer   |  Importateurs</v>
      </c>
      <c r="D10" s="334" t="s">
        <v>627</v>
      </c>
      <c r="E10" s="335" t="s">
        <v>628</v>
      </c>
      <c r="F10" s="335" t="s">
        <v>623</v>
      </c>
      <c r="G10" s="335"/>
      <c r="H10" s="331" t="str">
        <f>_xlfn.TEXTJOIN(", ", TRUE,IF(Public!$K$17="X","Retailer",""),IF(Public!$K$18="X","Distributor",""),IF(Public!$K$19="X","End User",""),IF(Public!$K$21="X","End User",""))</f>
        <v/>
      </c>
      <c r="I10" s="332" t="s">
        <v>570</v>
      </c>
      <c r="J10" s="361" t="s">
        <v>766</v>
      </c>
      <c r="K10" s="365" t="str">
        <f>Confirm!E67</f>
        <v>-</v>
      </c>
      <c r="L10" s="336" t="str">
        <f>Confirm!F67</f>
        <v>-</v>
      </c>
      <c r="M10" s="336" t="str">
        <f>Confirm!G67</f>
        <v>-</v>
      </c>
      <c r="N10" s="336" t="str">
        <f>Confirm!H67</f>
        <v>-</v>
      </c>
      <c r="O10" s="336" t="str">
        <f>Confirm!I67</f>
        <v>-</v>
      </c>
      <c r="U10" s="10"/>
      <c r="V10" s="324"/>
      <c r="W10" s="329"/>
      <c r="X10" s="334"/>
      <c r="Y10" s="334"/>
      <c r="Z10" s="335"/>
      <c r="AA10" s="335"/>
      <c r="AB10" s="335"/>
      <c r="AC10" s="334"/>
      <c r="AD10" s="332"/>
      <c r="AE10" s="335"/>
      <c r="AF10" s="336"/>
      <c r="AG10" s="336"/>
      <c r="AH10" s="336"/>
      <c r="AI10" s="324"/>
    </row>
    <row r="11" spans="2:49" x14ac:dyDescent="0.3">
      <c r="B11" s="329">
        <f>Intro!$E$69</f>
        <v>0</v>
      </c>
      <c r="C11" s="334" t="str">
        <f t="shared" si="0"/>
        <v>Importer   |  Importateurs</v>
      </c>
      <c r="D11" s="334" t="s">
        <v>629</v>
      </c>
      <c r="E11" s="335" t="s">
        <v>628</v>
      </c>
      <c r="F11" s="335" t="s">
        <v>623</v>
      </c>
      <c r="G11" s="335"/>
      <c r="H11" s="331" t="str">
        <f>_xlfn.TEXTJOIN(", ", TRUE,IF(Public!$K$17="X","Retailer",""),IF(Public!$K$18="X","Distributor",""),IF(Public!$K$19="X","End User",""),IF(Public!$K$21="X","End User",""))</f>
        <v/>
      </c>
      <c r="I11" s="332" t="s">
        <v>570</v>
      </c>
      <c r="J11" s="361" t="s">
        <v>623</v>
      </c>
      <c r="K11" s="365" t="str">
        <f>Confirm!E68</f>
        <v>-</v>
      </c>
      <c r="L11" s="336" t="str">
        <f>Confirm!F68</f>
        <v>-</v>
      </c>
      <c r="M11" s="336" t="str">
        <f>Confirm!G68</f>
        <v>-</v>
      </c>
      <c r="N11" s="336" t="str">
        <f>Confirm!H68</f>
        <v>-</v>
      </c>
      <c r="O11" s="336" t="str">
        <f>Confirm!I68</f>
        <v>-</v>
      </c>
      <c r="U11" s="10"/>
      <c r="V11" s="324"/>
      <c r="W11" s="329"/>
      <c r="X11" s="334"/>
      <c r="Y11" s="334"/>
      <c r="Z11" s="335"/>
      <c r="AA11" s="335"/>
      <c r="AB11" s="335"/>
      <c r="AC11" s="334"/>
      <c r="AD11" s="332"/>
      <c r="AE11" s="335"/>
      <c r="AF11" s="336"/>
      <c r="AG11" s="336"/>
      <c r="AH11" s="336"/>
      <c r="AI11" s="324"/>
      <c r="AJ11" s="324"/>
      <c r="AK11" s="324"/>
      <c r="AL11" s="324"/>
      <c r="AM11" s="324"/>
      <c r="AN11" s="324"/>
      <c r="AO11" s="324"/>
      <c r="AP11" s="324"/>
      <c r="AQ11" s="324"/>
      <c r="AR11" s="324"/>
      <c r="AS11" s="324"/>
      <c r="AT11" s="324"/>
      <c r="AU11" s="324"/>
      <c r="AV11" s="324"/>
      <c r="AW11" s="324"/>
    </row>
    <row r="12" spans="2:49" x14ac:dyDescent="0.3">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row>
    <row r="13" spans="2:49" x14ac:dyDescent="0.3">
      <c r="B13" s="862" t="s">
        <v>630</v>
      </c>
      <c r="C13" s="862"/>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row>
    <row r="14" spans="2:49" x14ac:dyDescent="0.3">
      <c r="B14" s="862"/>
      <c r="C14" s="862"/>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row>
    <row r="15" spans="2:49" ht="35.4" x14ac:dyDescent="0.3">
      <c r="B15" s="439" t="s">
        <v>631</v>
      </c>
      <c r="C15" s="440" t="s">
        <v>632</v>
      </c>
      <c r="D15" s="431" t="s">
        <v>633</v>
      </c>
      <c r="E15" s="431" t="s">
        <v>634</v>
      </c>
      <c r="F15" s="432" t="s">
        <v>635</v>
      </c>
      <c r="G15" s="432" t="s">
        <v>636</v>
      </c>
      <c r="H15" s="432" t="s">
        <v>637</v>
      </c>
      <c r="I15" s="431" t="s">
        <v>638</v>
      </c>
      <c r="J15" s="431" t="s">
        <v>639</v>
      </c>
      <c r="K15" s="433" t="s">
        <v>640</v>
      </c>
      <c r="L15" s="431" t="s">
        <v>641</v>
      </c>
      <c r="M15" s="434" t="s">
        <v>642</v>
      </c>
      <c r="N15" s="431" t="s">
        <v>643</v>
      </c>
      <c r="O15" s="431" t="s">
        <v>644</v>
      </c>
      <c r="P15" s="431" t="s">
        <v>645</v>
      </c>
      <c r="Q15" s="431" t="s">
        <v>646</v>
      </c>
      <c r="R15" s="435" t="s">
        <v>790</v>
      </c>
      <c r="S15" s="436" t="s">
        <v>791</v>
      </c>
      <c r="T15" s="436" t="s">
        <v>792</v>
      </c>
      <c r="U15" s="436" t="s">
        <v>769</v>
      </c>
      <c r="V15" s="436" t="s">
        <v>770</v>
      </c>
      <c r="W15" s="436" t="s">
        <v>647</v>
      </c>
      <c r="X15" s="437" t="s">
        <v>793</v>
      </c>
      <c r="Y15" s="437" t="s">
        <v>794</v>
      </c>
      <c r="Z15" s="437" t="s">
        <v>795</v>
      </c>
      <c r="AA15" s="437" t="s">
        <v>771</v>
      </c>
      <c r="AB15" s="438" t="s">
        <v>771</v>
      </c>
      <c r="AC15" s="341"/>
      <c r="AD15" s="342"/>
      <c r="AE15" s="342"/>
      <c r="AF15" s="342"/>
      <c r="AG15" s="341"/>
      <c r="AH15" s="341"/>
      <c r="AI15" s="343"/>
      <c r="AJ15" s="341"/>
      <c r="AK15" s="344"/>
      <c r="AL15" s="341"/>
      <c r="AM15" s="341"/>
      <c r="AN15" s="341"/>
      <c r="AO15" s="341"/>
      <c r="AP15" s="345"/>
      <c r="AQ15" s="345"/>
      <c r="AR15" s="345"/>
      <c r="AS15" s="345"/>
      <c r="AT15" s="346"/>
      <c r="AU15" s="346"/>
      <c r="AV15" s="346"/>
      <c r="AW15" s="324"/>
    </row>
    <row r="16" spans="2:49" s="302" customFormat="1" x14ac:dyDescent="0.3">
      <c r="B16" s="371">
        <f>Intro!$E$69</f>
        <v>0</v>
      </c>
      <c r="C16" s="371">
        <f>B16</f>
        <v>0</v>
      </c>
      <c r="D16" s="372" t="s">
        <v>648</v>
      </c>
      <c r="E16" s="371">
        <f>Public!G15</f>
        <v>0</v>
      </c>
      <c r="F16" s="373"/>
      <c r="G16" s="373"/>
      <c r="H16" s="373"/>
      <c r="I16" s="371" t="s">
        <v>649</v>
      </c>
      <c r="J16" s="371" t="s">
        <v>650</v>
      </c>
      <c r="K16" s="371" t="s">
        <v>651</v>
      </c>
      <c r="L16" s="371" t="s">
        <v>621</v>
      </c>
      <c r="M16" s="374"/>
      <c r="N16" s="371" t="s">
        <v>652</v>
      </c>
      <c r="O16" s="375" t="s">
        <v>653</v>
      </c>
      <c r="P16" s="376" t="s">
        <v>623</v>
      </c>
      <c r="Q16" s="473" t="s">
        <v>570</v>
      </c>
      <c r="R16" s="367">
        <f>'Imp-Exp1'!G59+'Imp-Exp2'!G59+'Imp-Exp3'!G59</f>
        <v>0</v>
      </c>
      <c r="S16" s="368">
        <f>'Imp-Exp1'!H59+'Imp-Exp2'!H59+'Imp-Exp3'!H59</f>
        <v>0</v>
      </c>
      <c r="T16" s="368">
        <f>'Imp-Exp1'!I59+'Imp-Exp2'!I59+'Imp-Exp3'!I59</f>
        <v>0</v>
      </c>
      <c r="U16" s="368">
        <f>'Imp-Exp1'!J59+'Imp-Exp2'!J59+'Imp-Exp3'!J59</f>
        <v>0</v>
      </c>
      <c r="V16" s="368">
        <f>'Imp-Exp1'!K59+'Imp-Exp2'!K59+'Imp-Exp3'!K59</f>
        <v>0</v>
      </c>
      <c r="W16" s="368"/>
      <c r="X16" s="368">
        <f>'Imp-Exp1'!G60+'Imp-Exp2'!G60+'Imp-Exp3'!G60</f>
        <v>0</v>
      </c>
      <c r="Y16" s="368">
        <f>'Imp-Exp1'!H60+'Imp-Exp2'!H60+'Imp-Exp3'!H60</f>
        <v>0</v>
      </c>
      <c r="Z16" s="368">
        <f>'Imp-Exp1'!I60+'Imp-Exp2'!I60+'Imp-Exp3'!I60</f>
        <v>0</v>
      </c>
      <c r="AA16" s="368">
        <f>'Imp-Exp1'!J60+'Imp-Exp2'!J60+'Imp-Exp3'!J60</f>
        <v>0</v>
      </c>
      <c r="AB16" s="319">
        <f>'Imp-Exp1'!K60+'Imp-Exp2'!K60+'Imp-Exp3'!K60</f>
        <v>0</v>
      </c>
      <c r="AC16" s="347"/>
      <c r="AD16" s="347"/>
      <c r="AE16" s="347"/>
      <c r="AF16" s="347"/>
      <c r="AG16" s="347"/>
      <c r="AH16" s="347"/>
      <c r="AI16" s="347"/>
      <c r="AJ16" s="347"/>
      <c r="AK16" s="348"/>
      <c r="AL16" s="347"/>
      <c r="AM16" s="349"/>
      <c r="AN16" s="350"/>
      <c r="AO16" s="350"/>
      <c r="AP16" s="357"/>
      <c r="AQ16" s="357"/>
      <c r="AR16" s="357"/>
      <c r="AS16" s="357"/>
      <c r="AT16" s="357"/>
      <c r="AU16" s="357"/>
      <c r="AV16" s="357"/>
      <c r="AW16" s="357"/>
    </row>
    <row r="17" spans="1:49" x14ac:dyDescent="0.3">
      <c r="B17" s="377">
        <f>Intro!$E$69</f>
        <v>0</v>
      </c>
      <c r="C17" s="377">
        <f t="shared" ref="C17:C24" si="1">B17</f>
        <v>0</v>
      </c>
      <c r="D17" s="377" t="str">
        <f t="shared" ref="D17:E18" si="2">D16</f>
        <v>2 - Importer</v>
      </c>
      <c r="E17" s="377">
        <f t="shared" si="2"/>
        <v>0</v>
      </c>
      <c r="F17" s="378"/>
      <c r="G17" s="378"/>
      <c r="H17" s="378"/>
      <c r="I17" s="377" t="s">
        <v>649</v>
      </c>
      <c r="J17" s="377" t="s">
        <v>650</v>
      </c>
      <c r="K17" s="377" t="s">
        <v>651</v>
      </c>
      <c r="L17" s="377" t="s">
        <v>621</v>
      </c>
      <c r="M17" s="379"/>
      <c r="N17" s="377" t="s">
        <v>652</v>
      </c>
      <c r="O17" s="380" t="s">
        <v>654</v>
      </c>
      <c r="P17" s="381" t="str">
        <f>J9</f>
        <v>End users  |  Utilisateurs finals</v>
      </c>
      <c r="Q17" s="474" t="s">
        <v>570</v>
      </c>
      <c r="R17" s="369">
        <f>'Imp-Exp1'!G63+'Imp-Exp2'!G63+'Imp-Exp3'!G63</f>
        <v>0</v>
      </c>
      <c r="S17" s="370">
        <f>'Imp-Exp1'!H63+'Imp-Exp2'!H63+'Imp-Exp3'!H63</f>
        <v>0</v>
      </c>
      <c r="T17" s="370">
        <f>'Imp-Exp1'!I63+'Imp-Exp2'!I63+'Imp-Exp3'!I63</f>
        <v>0</v>
      </c>
      <c r="U17" s="370">
        <f>'Imp-Exp1'!J63+'Imp-Exp2'!J63+'Imp-Exp3'!J63</f>
        <v>0</v>
      </c>
      <c r="V17" s="370">
        <f>'Imp-Exp1'!K63+'Imp-Exp2'!K63+'Imp-Exp3'!K63</f>
        <v>0</v>
      </c>
      <c r="W17" s="370"/>
      <c r="X17" s="370">
        <f>'Imp-Exp1'!G64+'Imp-Exp2'!G64+'Imp-Exp3'!G64</f>
        <v>0</v>
      </c>
      <c r="Y17" s="370">
        <f>'Imp-Exp1'!H64+'Imp-Exp2'!H64+'Imp-Exp3'!H64</f>
        <v>0</v>
      </c>
      <c r="Z17" s="370">
        <f>'Imp-Exp1'!I64+'Imp-Exp2'!I64+'Imp-Exp3'!I64</f>
        <v>0</v>
      </c>
      <c r="AA17" s="370">
        <f>'Imp-Exp1'!J64+'Imp-Exp2'!J64+'Imp-Exp3'!J64</f>
        <v>0</v>
      </c>
      <c r="AB17" s="309">
        <f>'Imp-Exp1'!K64+'Imp-Exp2'!K64+'Imp-Exp3'!K64</f>
        <v>0</v>
      </c>
      <c r="AC17" s="351"/>
      <c r="AD17" s="351"/>
      <c r="AE17" s="351"/>
      <c r="AF17" s="351"/>
      <c r="AG17" s="351"/>
      <c r="AH17" s="351"/>
      <c r="AI17" s="351"/>
      <c r="AJ17" s="351"/>
      <c r="AK17" s="352"/>
      <c r="AL17" s="351"/>
      <c r="AM17" s="353"/>
      <c r="AN17" s="354"/>
      <c r="AO17" s="350"/>
      <c r="AP17" s="324"/>
      <c r="AQ17" s="324"/>
      <c r="AR17" s="324"/>
      <c r="AS17" s="324"/>
      <c r="AT17" s="324"/>
      <c r="AU17" s="324"/>
      <c r="AV17" s="324"/>
      <c r="AW17" s="324"/>
    </row>
    <row r="18" spans="1:49" ht="13.5" customHeight="1" x14ac:dyDescent="0.3">
      <c r="B18" s="377">
        <f>Intro!$E$69</f>
        <v>0</v>
      </c>
      <c r="C18" s="377">
        <f t="shared" si="1"/>
        <v>0</v>
      </c>
      <c r="D18" s="377" t="str">
        <f t="shared" si="2"/>
        <v>2 - Importer</v>
      </c>
      <c r="E18" s="377">
        <f>E17</f>
        <v>0</v>
      </c>
      <c r="F18" s="378"/>
      <c r="G18" s="378"/>
      <c r="H18" s="378"/>
      <c r="I18" s="377" t="s">
        <v>649</v>
      </c>
      <c r="J18" s="377" t="s">
        <v>650</v>
      </c>
      <c r="K18" s="377" t="s">
        <v>651</v>
      </c>
      <c r="L18" s="377" t="s">
        <v>621</v>
      </c>
      <c r="M18" s="379"/>
      <c r="N18" s="377" t="s">
        <v>652</v>
      </c>
      <c r="O18" s="380" t="s">
        <v>654</v>
      </c>
      <c r="P18" s="381" t="str">
        <f>J10</f>
        <v>Others  |  Autres</v>
      </c>
      <c r="Q18" s="474" t="s">
        <v>570</v>
      </c>
      <c r="R18" s="369">
        <f>'Imp-Exp1'!G66+'Imp-Exp2'!G66+'Imp-Exp3'!G66</f>
        <v>0</v>
      </c>
      <c r="S18" s="370">
        <f>'Imp-Exp1'!H66+'Imp-Exp2'!H66+'Imp-Exp3'!H66</f>
        <v>0</v>
      </c>
      <c r="T18" s="370">
        <f>'Imp-Exp1'!I66+'Imp-Exp2'!I66+'Imp-Exp3'!I66</f>
        <v>0</v>
      </c>
      <c r="U18" s="370">
        <f>'Imp-Exp1'!J66+'Imp-Exp2'!J66+'Imp-Exp3'!J66</f>
        <v>0</v>
      </c>
      <c r="V18" s="370">
        <f>'Imp-Exp1'!K66+'Imp-Exp2'!K66+'Imp-Exp3'!K66</f>
        <v>0</v>
      </c>
      <c r="W18" s="370"/>
      <c r="X18" s="370">
        <f>'Imp-Exp1'!G67+'Imp-Exp2'!G67+'Imp-Exp3'!G67</f>
        <v>0</v>
      </c>
      <c r="Y18" s="370">
        <f>'Imp-Exp1'!H67+'Imp-Exp2'!H67+'Imp-Exp3'!H67</f>
        <v>0</v>
      </c>
      <c r="Z18" s="370">
        <f>'Imp-Exp1'!I67+'Imp-Exp2'!I67+'Imp-Exp3'!I67</f>
        <v>0</v>
      </c>
      <c r="AA18" s="370">
        <f>'Imp-Exp1'!J67+'Imp-Exp2'!J67+'Imp-Exp3'!J67</f>
        <v>0</v>
      </c>
      <c r="AB18" s="309">
        <f>'Imp-Exp1'!K67+'Imp-Exp2'!K67+'Imp-Exp3'!K67</f>
        <v>0</v>
      </c>
      <c r="AC18" s="351"/>
      <c r="AD18" s="351"/>
      <c r="AE18" s="351"/>
      <c r="AF18" s="351"/>
      <c r="AG18" s="351"/>
      <c r="AH18" s="351"/>
      <c r="AI18" s="351"/>
      <c r="AJ18" s="351"/>
      <c r="AK18" s="352"/>
      <c r="AL18" s="351"/>
      <c r="AM18" s="353"/>
      <c r="AN18" s="354"/>
      <c r="AO18" s="350"/>
      <c r="AP18" s="324"/>
      <c r="AQ18" s="324"/>
      <c r="AR18" s="324"/>
      <c r="AS18" s="324"/>
      <c r="AT18" s="324"/>
      <c r="AU18" s="324"/>
      <c r="AV18" s="324"/>
      <c r="AW18" s="324"/>
    </row>
    <row r="19" spans="1:49" s="302" customFormat="1" x14ac:dyDescent="0.3">
      <c r="B19" s="371">
        <f>Intro!$E$69</f>
        <v>0</v>
      </c>
      <c r="C19" s="371">
        <f t="shared" si="1"/>
        <v>0</v>
      </c>
      <c r="D19" s="372" t="s">
        <v>648</v>
      </c>
      <c r="E19" s="371">
        <f>E16</f>
        <v>0</v>
      </c>
      <c r="F19" s="373"/>
      <c r="G19" s="373"/>
      <c r="H19" s="373"/>
      <c r="I19" s="371" t="s">
        <v>655</v>
      </c>
      <c r="J19" s="371" t="s">
        <v>656</v>
      </c>
      <c r="K19" s="371" t="s">
        <v>657</v>
      </c>
      <c r="L19" s="371" t="s">
        <v>658</v>
      </c>
      <c r="M19" s="374"/>
      <c r="N19" s="371" t="s">
        <v>659</v>
      </c>
      <c r="O19" s="375" t="s">
        <v>653</v>
      </c>
      <c r="P19" s="376" t="s">
        <v>623</v>
      </c>
      <c r="Q19" s="473" t="s">
        <v>570</v>
      </c>
      <c r="R19" s="367">
        <f>'Imp-US'!G59</f>
        <v>0</v>
      </c>
      <c r="S19" s="368">
        <f>'Imp-US'!H59</f>
        <v>0</v>
      </c>
      <c r="T19" s="368">
        <f>'Imp-US'!I59</f>
        <v>0</v>
      </c>
      <c r="U19" s="368">
        <f>'Imp-US'!J59</f>
        <v>0</v>
      </c>
      <c r="V19" s="368">
        <f>'Imp-US'!K59</f>
        <v>0</v>
      </c>
      <c r="W19" s="368"/>
      <c r="X19" s="368">
        <f>'Imp-US'!G60</f>
        <v>0</v>
      </c>
      <c r="Y19" s="368">
        <f>'Imp-US'!H60</f>
        <v>0</v>
      </c>
      <c r="Z19" s="368">
        <f>'Imp-US'!I60</f>
        <v>0</v>
      </c>
      <c r="AA19" s="368">
        <f>'Imp-US'!J60</f>
        <v>0</v>
      </c>
      <c r="AB19" s="319">
        <f>'Imp-US'!K60</f>
        <v>0</v>
      </c>
      <c r="AC19" s="347"/>
      <c r="AD19" s="347"/>
      <c r="AE19" s="347"/>
      <c r="AF19" s="347"/>
      <c r="AG19" s="347"/>
      <c r="AH19" s="347"/>
      <c r="AI19" s="347"/>
      <c r="AJ19" s="347"/>
      <c r="AK19" s="348"/>
      <c r="AL19" s="347"/>
      <c r="AM19" s="349"/>
      <c r="AN19" s="350"/>
      <c r="AO19" s="350"/>
      <c r="AP19" s="357"/>
      <c r="AQ19" s="357"/>
      <c r="AR19" s="357"/>
      <c r="AS19" s="357"/>
      <c r="AT19" s="357"/>
      <c r="AU19" s="357"/>
      <c r="AV19" s="357"/>
      <c r="AW19" s="357"/>
    </row>
    <row r="20" spans="1:49" x14ac:dyDescent="0.3">
      <c r="B20" s="377">
        <f>Intro!$E$69</f>
        <v>0</v>
      </c>
      <c r="C20" s="377">
        <f t="shared" si="1"/>
        <v>0</v>
      </c>
      <c r="D20" s="377" t="str">
        <f t="shared" ref="D20:E20" si="3">D19</f>
        <v>2 - Importer</v>
      </c>
      <c r="E20" s="377">
        <f t="shared" si="3"/>
        <v>0</v>
      </c>
      <c r="F20" s="378"/>
      <c r="G20" s="378"/>
      <c r="H20" s="378"/>
      <c r="I20" s="377" t="s">
        <v>655</v>
      </c>
      <c r="J20" s="377" t="s">
        <v>656</v>
      </c>
      <c r="K20" s="377" t="s">
        <v>657</v>
      </c>
      <c r="L20" s="377" t="s">
        <v>658</v>
      </c>
      <c r="M20" s="379"/>
      <c r="N20" s="377" t="s">
        <v>659</v>
      </c>
      <c r="O20" s="380" t="s">
        <v>654</v>
      </c>
      <c r="P20" s="381" t="str">
        <f>P17</f>
        <v>End users  |  Utilisateurs finals</v>
      </c>
      <c r="Q20" s="474" t="s">
        <v>570</v>
      </c>
      <c r="R20" s="369">
        <f>'Imp-US'!G63</f>
        <v>0</v>
      </c>
      <c r="S20" s="370">
        <f>'Imp-US'!H63</f>
        <v>0</v>
      </c>
      <c r="T20" s="370">
        <f>'Imp-US'!I63</f>
        <v>0</v>
      </c>
      <c r="U20" s="370">
        <f>'Imp-US'!J63</f>
        <v>0</v>
      </c>
      <c r="V20" s="370">
        <f>'Imp-US'!K63</f>
        <v>0</v>
      </c>
      <c r="W20" s="370"/>
      <c r="X20" s="370">
        <f>'Imp-US'!G64</f>
        <v>0</v>
      </c>
      <c r="Y20" s="370">
        <f>'Imp-US'!H64</f>
        <v>0</v>
      </c>
      <c r="Z20" s="370">
        <f>'Imp-US'!I64</f>
        <v>0</v>
      </c>
      <c r="AA20" s="370">
        <f>'Imp-US'!J64</f>
        <v>0</v>
      </c>
      <c r="AB20" s="309">
        <f>'Imp-US'!K64</f>
        <v>0</v>
      </c>
      <c r="AC20" s="351"/>
      <c r="AD20" s="351"/>
      <c r="AE20" s="351"/>
      <c r="AF20" s="351"/>
      <c r="AG20" s="351"/>
      <c r="AH20" s="351"/>
      <c r="AI20" s="351"/>
      <c r="AJ20" s="351"/>
      <c r="AK20" s="352"/>
      <c r="AL20" s="351"/>
      <c r="AM20" s="353"/>
      <c r="AN20" s="354"/>
      <c r="AO20" s="350"/>
      <c r="AP20" s="324"/>
      <c r="AQ20" s="324"/>
      <c r="AR20" s="324"/>
      <c r="AS20" s="324"/>
      <c r="AT20" s="324"/>
      <c r="AU20" s="324"/>
      <c r="AV20" s="324"/>
      <c r="AW20" s="324"/>
    </row>
    <row r="21" spans="1:49" x14ac:dyDescent="0.3">
      <c r="B21" s="377">
        <f>Intro!$E$69</f>
        <v>0</v>
      </c>
      <c r="C21" s="377">
        <f t="shared" si="1"/>
        <v>0</v>
      </c>
      <c r="D21" s="377" t="str">
        <f>D20</f>
        <v>2 - Importer</v>
      </c>
      <c r="E21" s="377">
        <f>E20</f>
        <v>0</v>
      </c>
      <c r="F21" s="378"/>
      <c r="G21" s="378"/>
      <c r="H21" s="378"/>
      <c r="I21" s="377" t="s">
        <v>655</v>
      </c>
      <c r="J21" s="377" t="s">
        <v>656</v>
      </c>
      <c r="K21" s="377" t="s">
        <v>657</v>
      </c>
      <c r="L21" s="377" t="s">
        <v>658</v>
      </c>
      <c r="M21" s="379"/>
      <c r="N21" s="377" t="s">
        <v>659</v>
      </c>
      <c r="O21" s="380" t="s">
        <v>654</v>
      </c>
      <c r="P21" s="381" t="str">
        <f>P18</f>
        <v>Others  |  Autres</v>
      </c>
      <c r="Q21" s="474" t="s">
        <v>570</v>
      </c>
      <c r="R21" s="369">
        <f>'Imp-US'!G66</f>
        <v>0</v>
      </c>
      <c r="S21" s="370">
        <f>'Imp-US'!H66</f>
        <v>0</v>
      </c>
      <c r="T21" s="370">
        <f>'Imp-US'!I66</f>
        <v>0</v>
      </c>
      <c r="U21" s="370">
        <f>'Imp-US'!J66</f>
        <v>0</v>
      </c>
      <c r="V21" s="370">
        <f>'Imp-US'!K66</f>
        <v>0</v>
      </c>
      <c r="W21" s="370"/>
      <c r="X21" s="370">
        <f>'Imp-US'!G67</f>
        <v>0</v>
      </c>
      <c r="Y21" s="370">
        <f>'Imp-US'!H67</f>
        <v>0</v>
      </c>
      <c r="Z21" s="370">
        <f>'Imp-US'!I67</f>
        <v>0</v>
      </c>
      <c r="AA21" s="370">
        <f>'Imp-US'!J67</f>
        <v>0</v>
      </c>
      <c r="AB21" s="309">
        <f>'Imp-US'!K67</f>
        <v>0</v>
      </c>
      <c r="AC21" s="351"/>
      <c r="AD21" s="351"/>
      <c r="AE21" s="351"/>
      <c r="AF21" s="351"/>
      <c r="AG21" s="351"/>
      <c r="AH21" s="351"/>
      <c r="AI21" s="351"/>
      <c r="AJ21" s="351"/>
      <c r="AK21" s="352"/>
      <c r="AL21" s="351"/>
      <c r="AM21" s="353"/>
      <c r="AN21" s="354"/>
      <c r="AO21" s="350"/>
      <c r="AP21" s="324"/>
      <c r="AQ21" s="324"/>
      <c r="AR21" s="324"/>
      <c r="AS21" s="324"/>
      <c r="AT21" s="324"/>
      <c r="AU21" s="324"/>
      <c r="AV21" s="324"/>
      <c r="AW21" s="324"/>
    </row>
    <row r="22" spans="1:49" s="302" customFormat="1" x14ac:dyDescent="0.3">
      <c r="B22" s="371">
        <f>Intro!$E$69</f>
        <v>0</v>
      </c>
      <c r="C22" s="371">
        <f t="shared" si="1"/>
        <v>0</v>
      </c>
      <c r="D22" s="371" t="s">
        <v>648</v>
      </c>
      <c r="E22" s="371">
        <f>E16</f>
        <v>0</v>
      </c>
      <c r="F22" s="373"/>
      <c r="G22" s="373"/>
      <c r="H22" s="373"/>
      <c r="I22" s="371" t="s">
        <v>768</v>
      </c>
      <c r="J22" s="371" t="s">
        <v>656</v>
      </c>
      <c r="K22" s="371" t="s">
        <v>657</v>
      </c>
      <c r="L22" s="382" t="s">
        <v>626</v>
      </c>
      <c r="M22" s="383">
        <f>'Imp-Other-Autre'!D23</f>
        <v>0</v>
      </c>
      <c r="N22" s="371" t="s">
        <v>659</v>
      </c>
      <c r="O22" s="375" t="s">
        <v>653</v>
      </c>
      <c r="P22" s="371" t="s">
        <v>623</v>
      </c>
      <c r="Q22" s="473" t="s">
        <v>570</v>
      </c>
      <c r="R22" s="367">
        <f>'Imp-Other-Autre'!G59</f>
        <v>0</v>
      </c>
      <c r="S22" s="368">
        <f>'Imp-Other-Autre'!H59</f>
        <v>0</v>
      </c>
      <c r="T22" s="368">
        <f>'Imp-Other-Autre'!I59</f>
        <v>0</v>
      </c>
      <c r="U22" s="368">
        <f>'Imp-Other-Autre'!J59</f>
        <v>0</v>
      </c>
      <c r="V22" s="368">
        <f>'Imp-Other-Autre'!K59</f>
        <v>0</v>
      </c>
      <c r="W22" s="368"/>
      <c r="X22" s="368">
        <f>'Imp-Other-Autre'!G60</f>
        <v>0</v>
      </c>
      <c r="Y22" s="368">
        <f>'Imp-Other-Autre'!H60</f>
        <v>0</v>
      </c>
      <c r="Z22" s="368">
        <f>'Imp-Other-Autre'!I60</f>
        <v>0</v>
      </c>
      <c r="AA22" s="368">
        <f>'Imp-Other-Autre'!J60</f>
        <v>0</v>
      </c>
      <c r="AB22" s="319">
        <f>'Imp-Other-Autre'!K60</f>
        <v>0</v>
      </c>
      <c r="AC22" s="347"/>
      <c r="AD22" s="347"/>
      <c r="AE22" s="347"/>
      <c r="AF22" s="347"/>
      <c r="AG22" s="347"/>
      <c r="AH22" s="347"/>
      <c r="AI22" s="347"/>
      <c r="AJ22" s="355"/>
      <c r="AK22" s="356"/>
      <c r="AL22" s="347"/>
      <c r="AM22" s="349"/>
      <c r="AN22" s="347"/>
      <c r="AO22" s="350"/>
      <c r="AP22" s="357"/>
      <c r="AQ22" s="357"/>
      <c r="AR22" s="357"/>
      <c r="AS22" s="357"/>
      <c r="AT22" s="357"/>
      <c r="AU22" s="357"/>
      <c r="AV22" s="357"/>
      <c r="AW22" s="357"/>
    </row>
    <row r="23" spans="1:49" x14ac:dyDescent="0.3">
      <c r="B23" s="377">
        <f>Intro!$E$69</f>
        <v>0</v>
      </c>
      <c r="C23" s="377">
        <f t="shared" si="1"/>
        <v>0</v>
      </c>
      <c r="D23" s="377" t="str">
        <f t="shared" ref="D23:E24" si="4">D22</f>
        <v>2 - Importer</v>
      </c>
      <c r="E23" s="377">
        <f t="shared" si="4"/>
        <v>0</v>
      </c>
      <c r="F23" s="378"/>
      <c r="G23" s="378"/>
      <c r="H23" s="378"/>
      <c r="I23" s="377" t="s">
        <v>768</v>
      </c>
      <c r="J23" s="377" t="s">
        <v>656</v>
      </c>
      <c r="K23" s="377" t="s">
        <v>657</v>
      </c>
      <c r="L23" s="384" t="s">
        <v>626</v>
      </c>
      <c r="M23" s="385">
        <f t="shared" ref="M23:M24" si="5">$G$8</f>
        <v>0</v>
      </c>
      <c r="N23" s="377" t="s">
        <v>659</v>
      </c>
      <c r="O23" s="380" t="s">
        <v>654</v>
      </c>
      <c r="P23" s="386" t="str">
        <f>P17</f>
        <v>End users  |  Utilisateurs finals</v>
      </c>
      <c r="Q23" s="474" t="s">
        <v>570</v>
      </c>
      <c r="R23" s="369">
        <f>'Imp-Other-Autre'!G63</f>
        <v>0</v>
      </c>
      <c r="S23" s="370">
        <f>'Imp-Other-Autre'!H63</f>
        <v>0</v>
      </c>
      <c r="T23" s="370">
        <f>'Imp-Other-Autre'!I63</f>
        <v>0</v>
      </c>
      <c r="U23" s="370">
        <f>'Imp-Other-Autre'!J63</f>
        <v>0</v>
      </c>
      <c r="V23" s="370">
        <f>'Imp-Other-Autre'!K63</f>
        <v>0</v>
      </c>
      <c r="W23" s="370"/>
      <c r="X23" s="370">
        <f>'Imp-Other-Autre'!G64</f>
        <v>0</v>
      </c>
      <c r="Y23" s="370">
        <f>'Imp-Other-Autre'!H64</f>
        <v>0</v>
      </c>
      <c r="Z23" s="370">
        <f>'Imp-Other-Autre'!I64</f>
        <v>0</v>
      </c>
      <c r="AA23" s="370">
        <f>'Imp-Other-Autre'!J64</f>
        <v>0</v>
      </c>
      <c r="AB23" s="309">
        <f>'Imp-Other-Autre'!K64</f>
        <v>0</v>
      </c>
      <c r="AC23" s="351"/>
      <c r="AD23" s="351"/>
      <c r="AE23" s="351"/>
      <c r="AF23" s="351"/>
      <c r="AG23" s="351"/>
      <c r="AH23" s="351"/>
      <c r="AI23" s="351"/>
      <c r="AJ23" s="358"/>
      <c r="AK23" s="359"/>
      <c r="AL23" s="351"/>
      <c r="AM23" s="353"/>
      <c r="AN23" s="351"/>
      <c r="AO23" s="350"/>
      <c r="AP23" s="324"/>
      <c r="AQ23" s="324"/>
      <c r="AR23" s="324"/>
      <c r="AS23" s="324"/>
      <c r="AT23" s="324"/>
      <c r="AU23" s="324"/>
      <c r="AV23" s="324"/>
      <c r="AW23" s="324"/>
    </row>
    <row r="24" spans="1:49" x14ac:dyDescent="0.3">
      <c r="B24" s="377">
        <f>Intro!$E$69</f>
        <v>0</v>
      </c>
      <c r="C24" s="377">
        <f t="shared" si="1"/>
        <v>0</v>
      </c>
      <c r="D24" s="377" t="str">
        <f t="shared" si="4"/>
        <v>2 - Importer</v>
      </c>
      <c r="E24" s="377">
        <f>E23</f>
        <v>0</v>
      </c>
      <c r="F24" s="378"/>
      <c r="G24" s="378"/>
      <c r="H24" s="378"/>
      <c r="I24" s="377" t="s">
        <v>768</v>
      </c>
      <c r="J24" s="377" t="s">
        <v>656</v>
      </c>
      <c r="K24" s="377" t="s">
        <v>657</v>
      </c>
      <c r="L24" s="384" t="s">
        <v>626</v>
      </c>
      <c r="M24" s="385">
        <f t="shared" si="5"/>
        <v>0</v>
      </c>
      <c r="N24" s="377" t="s">
        <v>659</v>
      </c>
      <c r="O24" s="380" t="s">
        <v>654</v>
      </c>
      <c r="P24" s="386" t="str">
        <f>P18</f>
        <v>Others  |  Autres</v>
      </c>
      <c r="Q24" s="474" t="s">
        <v>570</v>
      </c>
      <c r="R24" s="369">
        <f>'Imp-Other-Autre'!G66</f>
        <v>0</v>
      </c>
      <c r="S24" s="370">
        <f>'Imp-Other-Autre'!H66</f>
        <v>0</v>
      </c>
      <c r="T24" s="370">
        <f>'Imp-Other-Autre'!I66</f>
        <v>0</v>
      </c>
      <c r="U24" s="370">
        <f>'Imp-Other-Autre'!J66</f>
        <v>0</v>
      </c>
      <c r="V24" s="370">
        <f>'Imp-Other-Autre'!K66</f>
        <v>0</v>
      </c>
      <c r="W24" s="370"/>
      <c r="X24" s="370">
        <f>'Imp-Other-Autre'!G67</f>
        <v>0</v>
      </c>
      <c r="Y24" s="370">
        <f>'Imp-Other-Autre'!H67</f>
        <v>0</v>
      </c>
      <c r="Z24" s="370">
        <f>'Imp-Other-Autre'!I67</f>
        <v>0</v>
      </c>
      <c r="AA24" s="370">
        <f>'Imp-Other-Autre'!J67</f>
        <v>0</v>
      </c>
      <c r="AB24" s="309">
        <f>'Imp-Other-Autre'!K67</f>
        <v>0</v>
      </c>
      <c r="AC24" s="351"/>
      <c r="AD24" s="351"/>
      <c r="AE24" s="351"/>
      <c r="AF24" s="351"/>
      <c r="AG24" s="351"/>
      <c r="AH24" s="351"/>
      <c r="AI24" s="351"/>
      <c r="AJ24" s="358"/>
      <c r="AK24" s="359"/>
      <c r="AL24" s="351"/>
      <c r="AM24" s="353"/>
      <c r="AN24" s="351"/>
      <c r="AO24" s="350"/>
      <c r="AP24" s="324"/>
      <c r="AQ24" s="324"/>
      <c r="AR24" s="324"/>
      <c r="AS24" s="324"/>
      <c r="AT24" s="324"/>
      <c r="AU24" s="324"/>
      <c r="AV24" s="324"/>
      <c r="AW24" s="324"/>
    </row>
    <row r="25" spans="1:49" x14ac:dyDescent="0.3">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row>
    <row r="26" spans="1:49" x14ac:dyDescent="0.3">
      <c r="A26" s="324"/>
      <c r="B26" s="858"/>
      <c r="C26" s="858"/>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row>
    <row r="27" spans="1:49" x14ac:dyDescent="0.3">
      <c r="A27" s="324"/>
      <c r="B27" s="858"/>
      <c r="C27" s="858"/>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row>
    <row r="28" spans="1:49" ht="46.5" customHeight="1" x14ac:dyDescent="0.3">
      <c r="A28" s="324"/>
      <c r="B28" s="448"/>
      <c r="C28" s="448"/>
      <c r="D28" s="448"/>
      <c r="E28" s="448"/>
      <c r="F28" s="453"/>
      <c r="G28" s="453"/>
      <c r="H28" s="453"/>
      <c r="I28" s="448"/>
      <c r="J28" s="448"/>
      <c r="K28" s="454"/>
      <c r="L28" s="448"/>
      <c r="M28" s="448"/>
      <c r="N28" s="448"/>
      <c r="O28" s="448"/>
      <c r="P28" s="448"/>
      <c r="Q28" s="448"/>
      <c r="R28" s="455"/>
      <c r="S28" s="455"/>
      <c r="T28" s="455"/>
      <c r="U28" s="455"/>
      <c r="V28" s="455"/>
      <c r="W28" s="455"/>
      <c r="X28" s="455"/>
      <c r="Y28" s="455"/>
      <c r="Z28" s="455"/>
      <c r="AA28" s="455"/>
      <c r="AB28" s="455"/>
      <c r="AC28" s="455"/>
      <c r="AD28" s="455"/>
      <c r="AE28" s="455"/>
      <c r="AF28" s="455"/>
      <c r="AG28" s="455"/>
      <c r="AH28" s="324"/>
      <c r="AI28" s="324"/>
      <c r="AJ28" s="324"/>
      <c r="AK28" s="324"/>
      <c r="AL28" s="324"/>
      <c r="AM28" s="324"/>
    </row>
    <row r="29" spans="1:49" s="302" customFormat="1" x14ac:dyDescent="0.3">
      <c r="A29" s="357"/>
      <c r="B29" s="387"/>
      <c r="C29" s="387"/>
      <c r="D29" s="387"/>
      <c r="E29" s="387"/>
      <c r="F29" s="388"/>
      <c r="G29" s="388"/>
      <c r="H29" s="388"/>
      <c r="I29" s="387"/>
      <c r="J29" s="387"/>
      <c r="K29" s="387"/>
      <c r="L29" s="387"/>
      <c r="M29" s="387"/>
      <c r="N29" s="387"/>
      <c r="O29" s="387"/>
      <c r="P29" s="387"/>
      <c r="Q29" s="387"/>
      <c r="R29" s="389"/>
      <c r="S29" s="389"/>
      <c r="T29" s="389"/>
      <c r="U29" s="389"/>
      <c r="V29" s="389"/>
      <c r="W29" s="389"/>
      <c r="X29" s="389"/>
      <c r="Y29" s="389"/>
      <c r="Z29" s="389"/>
      <c r="AA29" s="389"/>
      <c r="AB29" s="389"/>
      <c r="AC29" s="389"/>
      <c r="AD29" s="389"/>
      <c r="AE29" s="389"/>
      <c r="AF29" s="389"/>
      <c r="AG29" s="389"/>
      <c r="AH29" s="357"/>
      <c r="AI29" s="357"/>
      <c r="AJ29" s="357"/>
      <c r="AK29" s="357"/>
      <c r="AL29" s="357"/>
      <c r="AM29" s="357"/>
    </row>
    <row r="30" spans="1:49" x14ac:dyDescent="0.3">
      <c r="A30" s="324"/>
      <c r="B30" s="387"/>
      <c r="C30" s="387"/>
      <c r="D30" s="390"/>
      <c r="E30" s="387"/>
      <c r="F30" s="391"/>
      <c r="G30" s="391"/>
      <c r="H30" s="391"/>
      <c r="I30" s="390"/>
      <c r="J30" s="390"/>
      <c r="K30" s="390"/>
      <c r="L30" s="390"/>
      <c r="M30" s="390"/>
      <c r="N30" s="390"/>
      <c r="O30" s="390"/>
      <c r="P30" s="390"/>
      <c r="Q30" s="390"/>
      <c r="R30" s="392"/>
      <c r="S30" s="392"/>
      <c r="T30" s="392"/>
      <c r="U30" s="392"/>
      <c r="V30" s="392"/>
      <c r="W30" s="392"/>
      <c r="X30" s="392"/>
      <c r="Y30" s="392"/>
      <c r="Z30" s="392"/>
      <c r="AA30" s="392"/>
      <c r="AB30" s="392"/>
      <c r="AC30" s="392"/>
      <c r="AD30" s="392"/>
      <c r="AE30" s="392"/>
      <c r="AF30" s="392"/>
      <c r="AG30" s="392"/>
      <c r="AH30" s="324"/>
      <c r="AI30" s="324"/>
      <c r="AJ30" s="324"/>
      <c r="AK30" s="324"/>
      <c r="AL30" s="324"/>
      <c r="AM30" s="324"/>
    </row>
    <row r="31" spans="1:49" x14ac:dyDescent="0.3">
      <c r="A31" s="324"/>
      <c r="B31" s="387"/>
      <c r="C31" s="387"/>
      <c r="D31" s="390"/>
      <c r="E31" s="387"/>
      <c r="F31" s="391"/>
      <c r="G31" s="391"/>
      <c r="H31" s="391"/>
      <c r="I31" s="390"/>
      <c r="J31" s="390"/>
      <c r="K31" s="390"/>
      <c r="L31" s="390"/>
      <c r="M31" s="390"/>
      <c r="N31" s="390"/>
      <c r="O31" s="390"/>
      <c r="P31" s="390"/>
      <c r="Q31" s="390"/>
      <c r="R31" s="392"/>
      <c r="S31" s="392"/>
      <c r="T31" s="392"/>
      <c r="U31" s="392"/>
      <c r="V31" s="392"/>
      <c r="W31" s="392"/>
      <c r="X31" s="392"/>
      <c r="Y31" s="392"/>
      <c r="Z31" s="392"/>
      <c r="AA31" s="392"/>
      <c r="AB31" s="392"/>
      <c r="AC31" s="392"/>
      <c r="AD31" s="392"/>
      <c r="AE31" s="392"/>
      <c r="AF31" s="392"/>
      <c r="AG31" s="392"/>
      <c r="AH31" s="324"/>
      <c r="AI31" s="324"/>
      <c r="AJ31" s="324"/>
      <c r="AK31" s="324"/>
      <c r="AL31" s="324"/>
      <c r="AM31" s="324"/>
    </row>
    <row r="32" spans="1:49" x14ac:dyDescent="0.3">
      <c r="A32" s="324"/>
      <c r="B32" s="387"/>
      <c r="C32" s="387"/>
      <c r="D32" s="390"/>
      <c r="E32" s="387"/>
      <c r="F32" s="391"/>
      <c r="G32" s="391"/>
      <c r="H32" s="391"/>
      <c r="I32" s="390"/>
      <c r="J32" s="390"/>
      <c r="K32" s="390"/>
      <c r="L32" s="390"/>
      <c r="M32" s="390"/>
      <c r="N32" s="390"/>
      <c r="O32" s="390"/>
      <c r="P32" s="390"/>
      <c r="Q32" s="390"/>
      <c r="R32" s="392"/>
      <c r="S32" s="392"/>
      <c r="T32" s="392"/>
      <c r="U32" s="392"/>
      <c r="V32" s="392"/>
      <c r="W32" s="392"/>
      <c r="X32" s="392"/>
      <c r="Y32" s="392"/>
      <c r="Z32" s="392"/>
      <c r="AA32" s="392"/>
      <c r="AB32" s="392"/>
      <c r="AC32" s="392"/>
      <c r="AD32" s="392"/>
      <c r="AE32" s="392"/>
      <c r="AF32" s="392"/>
      <c r="AG32" s="392"/>
      <c r="AH32" s="324"/>
      <c r="AI32" s="324"/>
      <c r="AJ32" s="324"/>
      <c r="AK32" s="324"/>
      <c r="AL32" s="324"/>
      <c r="AM32" s="324"/>
    </row>
    <row r="33" spans="1:39" x14ac:dyDescent="0.3">
      <c r="A33" s="324"/>
      <c r="B33" s="387"/>
      <c r="C33" s="387"/>
      <c r="D33" s="390"/>
      <c r="E33" s="387"/>
      <c r="F33" s="391"/>
      <c r="G33" s="391"/>
      <c r="H33" s="391"/>
      <c r="I33" s="390"/>
      <c r="J33" s="390"/>
      <c r="K33" s="390"/>
      <c r="L33" s="390"/>
      <c r="M33" s="390"/>
      <c r="N33" s="390"/>
      <c r="O33" s="390"/>
      <c r="P33" s="390"/>
      <c r="Q33" s="390"/>
      <c r="R33" s="392"/>
      <c r="S33" s="392"/>
      <c r="T33" s="392"/>
      <c r="U33" s="392"/>
      <c r="V33" s="392"/>
      <c r="W33" s="392"/>
      <c r="X33" s="392"/>
      <c r="Y33" s="392"/>
      <c r="Z33" s="392"/>
      <c r="AA33" s="392"/>
      <c r="AB33" s="392"/>
      <c r="AC33" s="392"/>
      <c r="AD33" s="392"/>
      <c r="AE33" s="392"/>
      <c r="AF33" s="392"/>
      <c r="AG33" s="392"/>
      <c r="AH33" s="324"/>
      <c r="AI33" s="324"/>
      <c r="AJ33" s="324"/>
      <c r="AK33" s="324"/>
      <c r="AL33" s="324"/>
      <c r="AM33" s="324"/>
    </row>
    <row r="34" spans="1:39" s="302" customFormat="1" x14ac:dyDescent="0.3">
      <c r="A34" s="357"/>
      <c r="B34" s="387"/>
      <c r="C34" s="387"/>
      <c r="D34" s="387"/>
      <c r="E34" s="387"/>
      <c r="F34" s="388"/>
      <c r="G34" s="388"/>
      <c r="H34" s="388"/>
      <c r="I34" s="387"/>
      <c r="J34" s="387"/>
      <c r="K34" s="387"/>
      <c r="L34" s="387"/>
      <c r="M34" s="387"/>
      <c r="N34" s="387"/>
      <c r="O34" s="387"/>
      <c r="P34" s="387"/>
      <c r="Q34" s="387"/>
      <c r="R34" s="389"/>
      <c r="S34" s="389"/>
      <c r="T34" s="389"/>
      <c r="U34" s="389"/>
      <c r="V34" s="389"/>
      <c r="W34" s="389"/>
      <c r="X34" s="389"/>
      <c r="Y34" s="389"/>
      <c r="Z34" s="389"/>
      <c r="AA34" s="389"/>
      <c r="AB34" s="389"/>
      <c r="AC34" s="389"/>
      <c r="AD34" s="389"/>
      <c r="AE34" s="389"/>
      <c r="AF34" s="389"/>
      <c r="AG34" s="389"/>
      <c r="AH34" s="357"/>
      <c r="AI34" s="357"/>
      <c r="AJ34" s="357"/>
      <c r="AK34" s="357"/>
      <c r="AL34" s="357"/>
      <c r="AM34" s="357"/>
    </row>
    <row r="35" spans="1:39" x14ac:dyDescent="0.3">
      <c r="A35" s="324"/>
      <c r="B35" s="387"/>
      <c r="C35" s="387"/>
      <c r="D35" s="390"/>
      <c r="E35" s="387"/>
      <c r="F35" s="391"/>
      <c r="G35" s="391"/>
      <c r="H35" s="391"/>
      <c r="I35" s="390"/>
      <c r="J35" s="390"/>
      <c r="K35" s="390"/>
      <c r="L35" s="390"/>
      <c r="M35" s="390"/>
      <c r="N35" s="390"/>
      <c r="O35" s="390"/>
      <c r="P35" s="390"/>
      <c r="Q35" s="390"/>
      <c r="R35" s="392"/>
      <c r="S35" s="392"/>
      <c r="T35" s="392"/>
      <c r="U35" s="392"/>
      <c r="V35" s="392"/>
      <c r="W35" s="392"/>
      <c r="X35" s="392"/>
      <c r="Y35" s="392"/>
      <c r="Z35" s="392"/>
      <c r="AA35" s="392"/>
      <c r="AB35" s="392"/>
      <c r="AC35" s="392"/>
      <c r="AD35" s="392"/>
      <c r="AE35" s="392"/>
      <c r="AF35" s="392"/>
      <c r="AG35" s="392"/>
      <c r="AH35" s="324"/>
      <c r="AI35" s="324"/>
      <c r="AJ35" s="324"/>
      <c r="AK35" s="324"/>
      <c r="AL35" s="324"/>
      <c r="AM35" s="324"/>
    </row>
    <row r="36" spans="1:39" x14ac:dyDescent="0.3">
      <c r="A36" s="324"/>
      <c r="B36" s="387"/>
      <c r="C36" s="387"/>
      <c r="D36" s="390"/>
      <c r="E36" s="387"/>
      <c r="F36" s="391"/>
      <c r="G36" s="391"/>
      <c r="H36" s="391"/>
      <c r="I36" s="390"/>
      <c r="J36" s="390"/>
      <c r="K36" s="390"/>
      <c r="L36" s="390"/>
      <c r="M36" s="390"/>
      <c r="N36" s="390"/>
      <c r="O36" s="390"/>
      <c r="P36" s="390"/>
      <c r="Q36" s="390"/>
      <c r="R36" s="392"/>
      <c r="S36" s="392"/>
      <c r="T36" s="392"/>
      <c r="U36" s="392"/>
      <c r="V36" s="392"/>
      <c r="W36" s="392"/>
      <c r="X36" s="392"/>
      <c r="Y36" s="392"/>
      <c r="Z36" s="392"/>
      <c r="AA36" s="392"/>
      <c r="AB36" s="392"/>
      <c r="AC36" s="392"/>
      <c r="AD36" s="392"/>
      <c r="AE36" s="392"/>
      <c r="AF36" s="392"/>
      <c r="AG36" s="392"/>
      <c r="AH36" s="324"/>
      <c r="AI36" s="324"/>
      <c r="AJ36" s="324"/>
      <c r="AK36" s="324"/>
      <c r="AL36" s="324"/>
      <c r="AM36" s="324"/>
    </row>
    <row r="37" spans="1:39" x14ac:dyDescent="0.3">
      <c r="A37" s="324"/>
      <c r="B37" s="387"/>
      <c r="C37" s="387"/>
      <c r="D37" s="390"/>
      <c r="E37" s="387"/>
      <c r="F37" s="391"/>
      <c r="G37" s="391"/>
      <c r="H37" s="391"/>
      <c r="I37" s="390"/>
      <c r="J37" s="390"/>
      <c r="K37" s="390"/>
      <c r="L37" s="390"/>
      <c r="M37" s="390"/>
      <c r="N37" s="390"/>
      <c r="O37" s="390"/>
      <c r="P37" s="390"/>
      <c r="Q37" s="390"/>
      <c r="R37" s="392"/>
      <c r="S37" s="392"/>
      <c r="T37" s="392"/>
      <c r="U37" s="392"/>
      <c r="V37" s="392"/>
      <c r="W37" s="392"/>
      <c r="X37" s="392"/>
      <c r="Y37" s="392"/>
      <c r="Z37" s="392"/>
      <c r="AA37" s="392"/>
      <c r="AB37" s="392"/>
      <c r="AC37" s="392"/>
      <c r="AD37" s="392"/>
      <c r="AE37" s="392"/>
      <c r="AF37" s="392"/>
      <c r="AG37" s="392"/>
      <c r="AH37" s="324"/>
      <c r="AI37" s="324"/>
      <c r="AJ37" s="324"/>
      <c r="AK37" s="324"/>
      <c r="AL37" s="324"/>
      <c r="AM37" s="324"/>
    </row>
    <row r="38" spans="1:39" x14ac:dyDescent="0.3">
      <c r="A38" s="324"/>
      <c r="B38" s="387"/>
      <c r="C38" s="387"/>
      <c r="D38" s="390"/>
      <c r="E38" s="387"/>
      <c r="F38" s="391"/>
      <c r="G38" s="391"/>
      <c r="H38" s="391"/>
      <c r="I38" s="390"/>
      <c r="J38" s="390"/>
      <c r="K38" s="390"/>
      <c r="L38" s="390"/>
      <c r="M38" s="390"/>
      <c r="N38" s="390"/>
      <c r="O38" s="390"/>
      <c r="P38" s="390"/>
      <c r="Q38" s="390"/>
      <c r="R38" s="392"/>
      <c r="S38" s="392"/>
      <c r="T38" s="392"/>
      <c r="U38" s="392"/>
      <c r="V38" s="392"/>
      <c r="W38" s="392"/>
      <c r="X38" s="392"/>
      <c r="Y38" s="392"/>
      <c r="Z38" s="392"/>
      <c r="AA38" s="392"/>
      <c r="AB38" s="392"/>
      <c r="AC38" s="392"/>
      <c r="AD38" s="392"/>
      <c r="AE38" s="392"/>
      <c r="AF38" s="392"/>
      <c r="AG38" s="392"/>
      <c r="AH38" s="324"/>
      <c r="AI38" s="324"/>
      <c r="AJ38" s="324"/>
      <c r="AK38" s="324"/>
      <c r="AL38" s="324"/>
      <c r="AM38" s="324"/>
    </row>
    <row r="39" spans="1:39" s="302" customFormat="1" x14ac:dyDescent="0.3">
      <c r="A39" s="357"/>
      <c r="B39" s="387"/>
      <c r="C39" s="387"/>
      <c r="D39" s="387"/>
      <c r="E39" s="387"/>
      <c r="F39" s="388"/>
      <c r="G39" s="388"/>
      <c r="H39" s="388"/>
      <c r="I39" s="387"/>
      <c r="J39" s="387"/>
      <c r="K39" s="387"/>
      <c r="L39" s="387"/>
      <c r="M39" s="387"/>
      <c r="N39" s="387"/>
      <c r="O39" s="387"/>
      <c r="P39" s="387"/>
      <c r="Q39" s="387"/>
      <c r="R39" s="389"/>
      <c r="S39" s="389"/>
      <c r="T39" s="389"/>
      <c r="U39" s="389"/>
      <c r="V39" s="389"/>
      <c r="W39" s="389"/>
      <c r="X39" s="389"/>
      <c r="Y39" s="389"/>
      <c r="Z39" s="389"/>
      <c r="AA39" s="389"/>
      <c r="AB39" s="389"/>
      <c r="AC39" s="389"/>
      <c r="AD39" s="389"/>
      <c r="AE39" s="389"/>
      <c r="AF39" s="389"/>
      <c r="AG39" s="389"/>
      <c r="AH39" s="357"/>
      <c r="AI39" s="357"/>
      <c r="AJ39" s="357"/>
      <c r="AK39" s="357"/>
      <c r="AL39" s="357"/>
      <c r="AM39" s="357"/>
    </row>
    <row r="40" spans="1:39" x14ac:dyDescent="0.3">
      <c r="A40" s="324"/>
      <c r="B40" s="387"/>
      <c r="C40" s="387"/>
      <c r="D40" s="390"/>
      <c r="E40" s="387"/>
      <c r="F40" s="391"/>
      <c r="G40" s="391"/>
      <c r="H40" s="391"/>
      <c r="I40" s="390"/>
      <c r="J40" s="390"/>
      <c r="K40" s="390"/>
      <c r="L40" s="390"/>
      <c r="M40" s="390"/>
      <c r="N40" s="390"/>
      <c r="O40" s="390"/>
      <c r="P40" s="390"/>
      <c r="Q40" s="390"/>
      <c r="R40" s="392"/>
      <c r="S40" s="392"/>
      <c r="T40" s="392"/>
      <c r="U40" s="392"/>
      <c r="V40" s="392"/>
      <c r="W40" s="392"/>
      <c r="X40" s="392"/>
      <c r="Y40" s="392"/>
      <c r="Z40" s="392"/>
      <c r="AA40" s="392"/>
      <c r="AB40" s="392"/>
      <c r="AC40" s="392"/>
      <c r="AD40" s="392"/>
      <c r="AE40" s="392"/>
      <c r="AF40" s="392"/>
      <c r="AG40" s="392"/>
      <c r="AH40" s="324"/>
      <c r="AI40" s="324"/>
      <c r="AJ40" s="324"/>
      <c r="AK40" s="324"/>
      <c r="AL40" s="324"/>
      <c r="AM40" s="324"/>
    </row>
    <row r="41" spans="1:39" x14ac:dyDescent="0.3">
      <c r="A41" s="324"/>
      <c r="B41" s="387"/>
      <c r="C41" s="387"/>
      <c r="D41" s="390"/>
      <c r="E41" s="387"/>
      <c r="F41" s="391"/>
      <c r="G41" s="391"/>
      <c r="H41" s="391"/>
      <c r="I41" s="390"/>
      <c r="J41" s="390"/>
      <c r="K41" s="390"/>
      <c r="L41" s="390"/>
      <c r="M41" s="390"/>
      <c r="N41" s="390"/>
      <c r="O41" s="390"/>
      <c r="P41" s="390"/>
      <c r="Q41" s="390"/>
      <c r="R41" s="392"/>
      <c r="S41" s="392"/>
      <c r="T41" s="392"/>
      <c r="U41" s="392"/>
      <c r="V41" s="392"/>
      <c r="W41" s="392"/>
      <c r="X41" s="392"/>
      <c r="Y41" s="392"/>
      <c r="Z41" s="392"/>
      <c r="AA41" s="392"/>
      <c r="AB41" s="392"/>
      <c r="AC41" s="392"/>
      <c r="AD41" s="392"/>
      <c r="AE41" s="392"/>
      <c r="AF41" s="392"/>
      <c r="AG41" s="392"/>
      <c r="AH41" s="324"/>
      <c r="AI41" s="324"/>
      <c r="AJ41" s="324"/>
      <c r="AK41" s="324"/>
      <c r="AL41" s="324"/>
      <c r="AM41" s="324"/>
    </row>
    <row r="42" spans="1:39" x14ac:dyDescent="0.3">
      <c r="A42" s="324"/>
      <c r="B42" s="387"/>
      <c r="C42" s="387"/>
      <c r="D42" s="390"/>
      <c r="E42" s="387"/>
      <c r="F42" s="391"/>
      <c r="G42" s="391"/>
      <c r="H42" s="391"/>
      <c r="I42" s="390"/>
      <c r="J42" s="390"/>
      <c r="K42" s="390"/>
      <c r="L42" s="390"/>
      <c r="M42" s="390"/>
      <c r="N42" s="390"/>
      <c r="O42" s="390"/>
      <c r="P42" s="390"/>
      <c r="Q42" s="390"/>
      <c r="R42" s="392"/>
      <c r="S42" s="392"/>
      <c r="T42" s="392"/>
      <c r="U42" s="392"/>
      <c r="V42" s="392"/>
      <c r="W42" s="392"/>
      <c r="X42" s="392"/>
      <c r="Y42" s="392"/>
      <c r="Z42" s="392"/>
      <c r="AA42" s="392"/>
      <c r="AB42" s="392"/>
      <c r="AC42" s="392"/>
      <c r="AD42" s="392"/>
      <c r="AE42" s="392"/>
      <c r="AF42" s="392"/>
      <c r="AG42" s="392"/>
      <c r="AH42" s="324"/>
      <c r="AI42" s="324"/>
      <c r="AJ42" s="324"/>
      <c r="AK42" s="324"/>
      <c r="AL42" s="324"/>
      <c r="AM42" s="324"/>
    </row>
    <row r="43" spans="1:39" x14ac:dyDescent="0.3">
      <c r="A43" s="324"/>
      <c r="B43" s="387"/>
      <c r="C43" s="387"/>
      <c r="D43" s="390"/>
      <c r="E43" s="387"/>
      <c r="F43" s="391"/>
      <c r="G43" s="391"/>
      <c r="H43" s="391"/>
      <c r="I43" s="390"/>
      <c r="J43" s="390"/>
      <c r="K43" s="390"/>
      <c r="L43" s="390"/>
      <c r="M43" s="390"/>
      <c r="N43" s="390"/>
      <c r="O43" s="390"/>
      <c r="P43" s="390"/>
      <c r="Q43" s="390"/>
      <c r="R43" s="392"/>
      <c r="S43" s="392"/>
      <c r="T43" s="392"/>
      <c r="U43" s="392"/>
      <c r="V43" s="392"/>
      <c r="W43" s="392"/>
      <c r="X43" s="392"/>
      <c r="Y43" s="392"/>
      <c r="Z43" s="392"/>
      <c r="AA43" s="392"/>
      <c r="AB43" s="392"/>
      <c r="AC43" s="392"/>
      <c r="AD43" s="392"/>
      <c r="AE43" s="392"/>
      <c r="AF43" s="392"/>
      <c r="AG43" s="392"/>
      <c r="AH43" s="324"/>
      <c r="AI43" s="324"/>
      <c r="AJ43" s="324"/>
      <c r="AK43" s="324"/>
      <c r="AL43" s="324"/>
      <c r="AM43" s="324"/>
    </row>
    <row r="44" spans="1:39" s="302" customFormat="1" x14ac:dyDescent="0.3">
      <c r="A44" s="357"/>
      <c r="B44" s="387"/>
      <c r="C44" s="387"/>
      <c r="D44" s="387"/>
      <c r="E44" s="387"/>
      <c r="F44" s="388"/>
      <c r="G44" s="388"/>
      <c r="H44" s="388"/>
      <c r="I44" s="387"/>
      <c r="J44" s="387"/>
      <c r="K44" s="387"/>
      <c r="L44" s="387"/>
      <c r="M44" s="387"/>
      <c r="N44" s="387"/>
      <c r="O44" s="387"/>
      <c r="P44" s="387"/>
      <c r="Q44" s="387"/>
      <c r="R44" s="389"/>
      <c r="S44" s="389"/>
      <c r="T44" s="389"/>
      <c r="U44" s="389"/>
      <c r="V44" s="389"/>
      <c r="W44" s="389"/>
      <c r="X44" s="389"/>
      <c r="Y44" s="389"/>
      <c r="Z44" s="389"/>
      <c r="AA44" s="389"/>
      <c r="AB44" s="389"/>
      <c r="AC44" s="389"/>
      <c r="AD44" s="389"/>
      <c r="AE44" s="389"/>
      <c r="AF44" s="389"/>
      <c r="AG44" s="389"/>
      <c r="AH44" s="357"/>
      <c r="AI44" s="357"/>
      <c r="AJ44" s="357"/>
      <c r="AK44" s="357"/>
      <c r="AL44" s="357"/>
      <c r="AM44" s="357"/>
    </row>
    <row r="45" spans="1:39" x14ac:dyDescent="0.3">
      <c r="A45" s="324"/>
      <c r="B45" s="387"/>
      <c r="C45" s="387"/>
      <c r="D45" s="390"/>
      <c r="E45" s="387"/>
      <c r="F45" s="391"/>
      <c r="G45" s="391"/>
      <c r="H45" s="391"/>
      <c r="I45" s="390"/>
      <c r="J45" s="390"/>
      <c r="K45" s="390"/>
      <c r="L45" s="390"/>
      <c r="M45" s="390"/>
      <c r="N45" s="390"/>
      <c r="O45" s="390"/>
      <c r="P45" s="390"/>
      <c r="Q45" s="390"/>
      <c r="R45" s="392"/>
      <c r="S45" s="392"/>
      <c r="T45" s="392"/>
      <c r="U45" s="392"/>
      <c r="V45" s="392"/>
      <c r="W45" s="392"/>
      <c r="X45" s="392"/>
      <c r="Y45" s="392"/>
      <c r="Z45" s="392"/>
      <c r="AA45" s="392"/>
      <c r="AB45" s="392"/>
      <c r="AC45" s="392"/>
      <c r="AD45" s="392"/>
      <c r="AE45" s="392"/>
      <c r="AF45" s="392"/>
      <c r="AG45" s="392"/>
      <c r="AH45" s="324"/>
      <c r="AI45" s="324"/>
      <c r="AJ45" s="324"/>
      <c r="AK45" s="324"/>
      <c r="AL45" s="324"/>
      <c r="AM45" s="324"/>
    </row>
    <row r="46" spans="1:39" x14ac:dyDescent="0.3">
      <c r="A46" s="324"/>
      <c r="B46" s="387"/>
      <c r="C46" s="387"/>
      <c r="D46" s="390"/>
      <c r="E46" s="387"/>
      <c r="F46" s="391"/>
      <c r="G46" s="391"/>
      <c r="H46" s="391"/>
      <c r="I46" s="390"/>
      <c r="J46" s="390"/>
      <c r="K46" s="390"/>
      <c r="L46" s="390"/>
      <c r="M46" s="390"/>
      <c r="N46" s="390"/>
      <c r="O46" s="390"/>
      <c r="P46" s="390"/>
      <c r="Q46" s="390"/>
      <c r="R46" s="392"/>
      <c r="S46" s="392"/>
      <c r="T46" s="392"/>
      <c r="U46" s="392"/>
      <c r="V46" s="392"/>
      <c r="W46" s="392"/>
      <c r="X46" s="392"/>
      <c r="Y46" s="392"/>
      <c r="Z46" s="392"/>
      <c r="AA46" s="392"/>
      <c r="AB46" s="392"/>
      <c r="AC46" s="392"/>
      <c r="AD46" s="392"/>
      <c r="AE46" s="392"/>
      <c r="AF46" s="392"/>
      <c r="AG46" s="392"/>
      <c r="AH46" s="324"/>
      <c r="AI46" s="324"/>
      <c r="AJ46" s="324"/>
      <c r="AK46" s="324"/>
      <c r="AL46" s="324"/>
      <c r="AM46" s="324"/>
    </row>
    <row r="47" spans="1:39" x14ac:dyDescent="0.3">
      <c r="A47" s="324"/>
      <c r="B47" s="387"/>
      <c r="C47" s="387"/>
      <c r="D47" s="390"/>
      <c r="E47" s="387"/>
      <c r="F47" s="391"/>
      <c r="G47" s="391"/>
      <c r="H47" s="391"/>
      <c r="I47" s="390"/>
      <c r="J47" s="390"/>
      <c r="K47" s="390"/>
      <c r="L47" s="390"/>
      <c r="M47" s="390"/>
      <c r="N47" s="390"/>
      <c r="O47" s="390"/>
      <c r="P47" s="390"/>
      <c r="Q47" s="390"/>
      <c r="R47" s="392"/>
      <c r="S47" s="392"/>
      <c r="T47" s="392"/>
      <c r="U47" s="392"/>
      <c r="V47" s="392"/>
      <c r="W47" s="392"/>
      <c r="X47" s="392"/>
      <c r="Y47" s="392"/>
      <c r="Z47" s="392"/>
      <c r="AA47" s="392"/>
      <c r="AB47" s="392"/>
      <c r="AC47" s="392"/>
      <c r="AD47" s="392"/>
      <c r="AE47" s="392"/>
      <c r="AF47" s="392"/>
      <c r="AG47" s="392"/>
      <c r="AH47" s="324"/>
      <c r="AI47" s="324"/>
      <c r="AJ47" s="324"/>
      <c r="AK47" s="324"/>
      <c r="AL47" s="324"/>
      <c r="AM47" s="324"/>
    </row>
    <row r="48" spans="1:39" x14ac:dyDescent="0.3">
      <c r="A48" s="324"/>
      <c r="B48" s="387"/>
      <c r="C48" s="387"/>
      <c r="D48" s="390"/>
      <c r="E48" s="387"/>
      <c r="F48" s="391"/>
      <c r="G48" s="391"/>
      <c r="H48" s="391"/>
      <c r="I48" s="390"/>
      <c r="J48" s="390"/>
      <c r="K48" s="390"/>
      <c r="L48" s="390"/>
      <c r="M48" s="390"/>
      <c r="N48" s="390"/>
      <c r="O48" s="390"/>
      <c r="P48" s="390"/>
      <c r="Q48" s="390"/>
      <c r="R48" s="392"/>
      <c r="S48" s="392"/>
      <c r="T48" s="392"/>
      <c r="U48" s="392"/>
      <c r="V48" s="392"/>
      <c r="W48" s="392"/>
      <c r="X48" s="392"/>
      <c r="Y48" s="392"/>
      <c r="Z48" s="392"/>
      <c r="AA48" s="392"/>
      <c r="AB48" s="392"/>
      <c r="AC48" s="392"/>
      <c r="AD48" s="392"/>
      <c r="AE48" s="392"/>
      <c r="AF48" s="392"/>
      <c r="AG48" s="392"/>
      <c r="AH48" s="324"/>
      <c r="AI48" s="324"/>
      <c r="AJ48" s="324"/>
      <c r="AK48" s="324"/>
      <c r="AL48" s="324"/>
      <c r="AM48" s="324"/>
    </row>
    <row r="49" spans="1:39" s="302" customFormat="1" x14ac:dyDescent="0.3">
      <c r="A49" s="357"/>
      <c r="B49" s="387"/>
      <c r="C49" s="387"/>
      <c r="D49" s="387"/>
      <c r="E49" s="387"/>
      <c r="F49" s="388"/>
      <c r="G49" s="388"/>
      <c r="H49" s="388"/>
      <c r="I49" s="387"/>
      <c r="J49" s="387"/>
      <c r="K49" s="387"/>
      <c r="L49" s="387"/>
      <c r="M49" s="387"/>
      <c r="N49" s="387"/>
      <c r="O49" s="387"/>
      <c r="P49" s="387"/>
      <c r="Q49" s="387"/>
      <c r="R49" s="389"/>
      <c r="S49" s="389"/>
      <c r="T49" s="389"/>
      <c r="U49" s="389"/>
      <c r="V49" s="389"/>
      <c r="W49" s="389"/>
      <c r="X49" s="389"/>
      <c r="Y49" s="389"/>
      <c r="Z49" s="389"/>
      <c r="AA49" s="389"/>
      <c r="AB49" s="389"/>
      <c r="AC49" s="389"/>
      <c r="AD49" s="389"/>
      <c r="AE49" s="389"/>
      <c r="AF49" s="389"/>
      <c r="AG49" s="389"/>
      <c r="AH49" s="357"/>
      <c r="AI49" s="357"/>
      <c r="AJ49" s="357"/>
      <c r="AK49" s="357"/>
      <c r="AL49" s="357"/>
      <c r="AM49" s="357"/>
    </row>
    <row r="50" spans="1:39" x14ac:dyDescent="0.3">
      <c r="A50" s="324"/>
      <c r="B50" s="387"/>
      <c r="C50" s="387"/>
      <c r="D50" s="390"/>
      <c r="E50" s="387"/>
      <c r="F50" s="391"/>
      <c r="G50" s="391"/>
      <c r="H50" s="391"/>
      <c r="I50" s="390"/>
      <c r="J50" s="390"/>
      <c r="K50" s="390"/>
      <c r="L50" s="390"/>
      <c r="M50" s="390"/>
      <c r="N50" s="390"/>
      <c r="O50" s="390"/>
      <c r="P50" s="390"/>
      <c r="Q50" s="390"/>
      <c r="R50" s="392"/>
      <c r="S50" s="392"/>
      <c r="T50" s="392"/>
      <c r="U50" s="392"/>
      <c r="V50" s="392"/>
      <c r="W50" s="392"/>
      <c r="X50" s="392"/>
      <c r="Y50" s="392"/>
      <c r="Z50" s="392"/>
      <c r="AA50" s="392"/>
      <c r="AB50" s="392"/>
      <c r="AC50" s="392"/>
      <c r="AD50" s="392"/>
      <c r="AE50" s="392"/>
      <c r="AF50" s="392"/>
      <c r="AG50" s="392"/>
      <c r="AH50" s="324"/>
      <c r="AI50" s="324"/>
      <c r="AJ50" s="324"/>
      <c r="AK50" s="324"/>
      <c r="AL50" s="324"/>
      <c r="AM50" s="324"/>
    </row>
    <row r="51" spans="1:39" x14ac:dyDescent="0.3">
      <c r="A51" s="324"/>
      <c r="B51" s="387"/>
      <c r="C51" s="387"/>
      <c r="D51" s="390"/>
      <c r="E51" s="387"/>
      <c r="F51" s="391"/>
      <c r="G51" s="391"/>
      <c r="H51" s="391"/>
      <c r="I51" s="390"/>
      <c r="J51" s="390"/>
      <c r="K51" s="390"/>
      <c r="L51" s="390"/>
      <c r="M51" s="390"/>
      <c r="N51" s="390"/>
      <c r="O51" s="390"/>
      <c r="P51" s="390"/>
      <c r="Q51" s="390"/>
      <c r="R51" s="392"/>
      <c r="S51" s="392"/>
      <c r="T51" s="392"/>
      <c r="U51" s="392"/>
      <c r="V51" s="392"/>
      <c r="W51" s="392"/>
      <c r="X51" s="392"/>
      <c r="Y51" s="392"/>
      <c r="Z51" s="392"/>
      <c r="AA51" s="392"/>
      <c r="AB51" s="392"/>
      <c r="AC51" s="392"/>
      <c r="AD51" s="392"/>
      <c r="AE51" s="392"/>
      <c r="AF51" s="392"/>
      <c r="AG51" s="392"/>
      <c r="AH51" s="324"/>
      <c r="AI51" s="324"/>
      <c r="AJ51" s="324"/>
      <c r="AK51" s="324"/>
      <c r="AL51" s="324"/>
      <c r="AM51" s="324"/>
    </row>
    <row r="52" spans="1:39" x14ac:dyDescent="0.3">
      <c r="A52" s="324"/>
      <c r="B52" s="387"/>
      <c r="C52" s="387"/>
      <c r="D52" s="390"/>
      <c r="E52" s="387"/>
      <c r="F52" s="391"/>
      <c r="G52" s="391"/>
      <c r="H52" s="391"/>
      <c r="I52" s="390"/>
      <c r="J52" s="390"/>
      <c r="K52" s="390"/>
      <c r="L52" s="390"/>
      <c r="M52" s="390"/>
      <c r="N52" s="390"/>
      <c r="O52" s="390"/>
      <c r="P52" s="390"/>
      <c r="Q52" s="390"/>
      <c r="R52" s="392"/>
      <c r="S52" s="392"/>
      <c r="T52" s="392"/>
      <c r="U52" s="392"/>
      <c r="V52" s="392"/>
      <c r="W52" s="392"/>
      <c r="X52" s="392"/>
      <c r="Y52" s="392"/>
      <c r="Z52" s="392"/>
      <c r="AA52" s="392"/>
      <c r="AB52" s="392"/>
      <c r="AC52" s="392"/>
      <c r="AD52" s="392"/>
      <c r="AE52" s="392"/>
      <c r="AF52" s="392"/>
      <c r="AG52" s="392"/>
      <c r="AH52" s="324"/>
      <c r="AI52" s="324"/>
      <c r="AJ52" s="324"/>
      <c r="AK52" s="324"/>
      <c r="AL52" s="324"/>
      <c r="AM52" s="324"/>
    </row>
    <row r="53" spans="1:39" x14ac:dyDescent="0.3">
      <c r="A53" s="324"/>
      <c r="B53" s="387"/>
      <c r="C53" s="387"/>
      <c r="D53" s="390"/>
      <c r="E53" s="387"/>
      <c r="F53" s="391"/>
      <c r="G53" s="391"/>
      <c r="H53" s="391"/>
      <c r="I53" s="390"/>
      <c r="J53" s="390"/>
      <c r="K53" s="390"/>
      <c r="L53" s="390"/>
      <c r="M53" s="390"/>
      <c r="N53" s="390"/>
      <c r="O53" s="390"/>
      <c r="P53" s="390"/>
      <c r="Q53" s="390"/>
      <c r="R53" s="392"/>
      <c r="S53" s="392"/>
      <c r="T53" s="392"/>
      <c r="U53" s="392"/>
      <c r="V53" s="392"/>
      <c r="W53" s="392"/>
      <c r="X53" s="392"/>
      <c r="Y53" s="392"/>
      <c r="Z53" s="392"/>
      <c r="AA53" s="392"/>
      <c r="AB53" s="392"/>
      <c r="AC53" s="392"/>
      <c r="AD53" s="392"/>
      <c r="AE53" s="392"/>
      <c r="AF53" s="392"/>
      <c r="AG53" s="392"/>
      <c r="AH53" s="324"/>
      <c r="AI53" s="324"/>
      <c r="AJ53" s="324"/>
      <c r="AK53" s="324"/>
      <c r="AL53" s="324"/>
      <c r="AM53" s="324"/>
    </row>
    <row r="54" spans="1:39" s="302" customFormat="1" x14ac:dyDescent="0.3">
      <c r="A54" s="357"/>
      <c r="B54" s="387"/>
      <c r="C54" s="387"/>
      <c r="D54" s="387"/>
      <c r="E54" s="387"/>
      <c r="F54" s="388"/>
      <c r="G54" s="388"/>
      <c r="H54" s="388"/>
      <c r="I54" s="387"/>
      <c r="J54" s="387"/>
      <c r="K54" s="387"/>
      <c r="L54" s="387"/>
      <c r="M54" s="387"/>
      <c r="N54" s="387"/>
      <c r="O54" s="387"/>
      <c r="P54" s="387"/>
      <c r="Q54" s="387"/>
      <c r="R54" s="389"/>
      <c r="S54" s="389"/>
      <c r="T54" s="389"/>
      <c r="U54" s="389"/>
      <c r="V54" s="389"/>
      <c r="W54" s="389"/>
      <c r="X54" s="389"/>
      <c r="Y54" s="389"/>
      <c r="Z54" s="389"/>
      <c r="AA54" s="389"/>
      <c r="AB54" s="389"/>
      <c r="AC54" s="389"/>
      <c r="AD54" s="389"/>
      <c r="AE54" s="389"/>
      <c r="AF54" s="389"/>
      <c r="AG54" s="389"/>
      <c r="AH54" s="357"/>
      <c r="AI54" s="357"/>
      <c r="AJ54" s="357"/>
      <c r="AK54" s="357"/>
      <c r="AL54" s="357"/>
      <c r="AM54" s="357"/>
    </row>
    <row r="55" spans="1:39" x14ac:dyDescent="0.3">
      <c r="A55" s="324"/>
      <c r="B55" s="387"/>
      <c r="C55" s="387"/>
      <c r="D55" s="390"/>
      <c r="E55" s="387"/>
      <c r="F55" s="391"/>
      <c r="G55" s="391"/>
      <c r="H55" s="391"/>
      <c r="I55" s="390"/>
      <c r="J55" s="390"/>
      <c r="K55" s="390"/>
      <c r="L55" s="390"/>
      <c r="M55" s="390"/>
      <c r="N55" s="390"/>
      <c r="O55" s="390"/>
      <c r="P55" s="390"/>
      <c r="Q55" s="390"/>
      <c r="R55" s="392"/>
      <c r="S55" s="392"/>
      <c r="T55" s="392"/>
      <c r="U55" s="392"/>
      <c r="V55" s="392"/>
      <c r="W55" s="392"/>
      <c r="X55" s="392"/>
      <c r="Y55" s="392"/>
      <c r="Z55" s="392"/>
      <c r="AA55" s="392"/>
      <c r="AB55" s="392"/>
      <c r="AC55" s="392"/>
      <c r="AD55" s="392"/>
      <c r="AE55" s="392"/>
      <c r="AF55" s="392"/>
      <c r="AG55" s="392"/>
      <c r="AH55" s="324"/>
      <c r="AI55" s="324"/>
      <c r="AJ55" s="324"/>
      <c r="AK55" s="324"/>
      <c r="AL55" s="324"/>
      <c r="AM55" s="324"/>
    </row>
    <row r="56" spans="1:39" x14ac:dyDescent="0.3">
      <c r="A56" s="324"/>
      <c r="B56" s="387"/>
      <c r="C56" s="387"/>
      <c r="D56" s="390"/>
      <c r="E56" s="387"/>
      <c r="F56" s="391"/>
      <c r="G56" s="391"/>
      <c r="H56" s="391"/>
      <c r="I56" s="390"/>
      <c r="J56" s="390"/>
      <c r="K56" s="390"/>
      <c r="L56" s="390"/>
      <c r="M56" s="390"/>
      <c r="N56" s="390"/>
      <c r="O56" s="390"/>
      <c r="P56" s="390"/>
      <c r="Q56" s="390"/>
      <c r="R56" s="392"/>
      <c r="S56" s="392"/>
      <c r="T56" s="392"/>
      <c r="U56" s="392"/>
      <c r="V56" s="392"/>
      <c r="W56" s="392"/>
      <c r="X56" s="392"/>
      <c r="Y56" s="392"/>
      <c r="Z56" s="392"/>
      <c r="AA56" s="392"/>
      <c r="AB56" s="392"/>
      <c r="AC56" s="392"/>
      <c r="AD56" s="392"/>
      <c r="AE56" s="392"/>
      <c r="AF56" s="392"/>
      <c r="AG56" s="392"/>
      <c r="AH56" s="324"/>
      <c r="AI56" s="324"/>
      <c r="AJ56" s="324"/>
      <c r="AK56" s="324"/>
      <c r="AL56" s="324"/>
      <c r="AM56" s="324"/>
    </row>
    <row r="57" spans="1:39" x14ac:dyDescent="0.3">
      <c r="A57" s="324"/>
      <c r="B57" s="387"/>
      <c r="C57" s="387"/>
      <c r="D57" s="390"/>
      <c r="E57" s="387"/>
      <c r="F57" s="391"/>
      <c r="G57" s="391"/>
      <c r="H57" s="391"/>
      <c r="I57" s="390"/>
      <c r="J57" s="390"/>
      <c r="K57" s="390"/>
      <c r="L57" s="390"/>
      <c r="M57" s="390"/>
      <c r="N57" s="390"/>
      <c r="O57" s="390"/>
      <c r="P57" s="390"/>
      <c r="Q57" s="390"/>
      <c r="R57" s="392"/>
      <c r="S57" s="392"/>
      <c r="T57" s="392"/>
      <c r="U57" s="392"/>
      <c r="V57" s="392"/>
      <c r="W57" s="392"/>
      <c r="X57" s="392"/>
      <c r="Y57" s="392"/>
      <c r="Z57" s="392"/>
      <c r="AA57" s="392"/>
      <c r="AB57" s="392"/>
      <c r="AC57" s="392"/>
      <c r="AD57" s="392"/>
      <c r="AE57" s="392"/>
      <c r="AF57" s="392"/>
      <c r="AG57" s="392"/>
      <c r="AH57" s="324"/>
      <c r="AI57" s="324"/>
      <c r="AJ57" s="324"/>
      <c r="AK57" s="324"/>
      <c r="AL57" s="324"/>
      <c r="AM57" s="324"/>
    </row>
    <row r="58" spans="1:39" x14ac:dyDescent="0.3">
      <c r="A58" s="324"/>
      <c r="B58" s="387"/>
      <c r="C58" s="387"/>
      <c r="D58" s="390"/>
      <c r="E58" s="387"/>
      <c r="F58" s="391"/>
      <c r="G58" s="391"/>
      <c r="H58" s="391"/>
      <c r="I58" s="390"/>
      <c r="J58" s="390"/>
      <c r="K58" s="390"/>
      <c r="L58" s="390"/>
      <c r="M58" s="390"/>
      <c r="N58" s="390"/>
      <c r="O58" s="390"/>
      <c r="P58" s="390"/>
      <c r="Q58" s="390"/>
      <c r="R58" s="392"/>
      <c r="S58" s="392"/>
      <c r="T58" s="392"/>
      <c r="U58" s="392"/>
      <c r="V58" s="392"/>
      <c r="W58" s="392"/>
      <c r="X58" s="392"/>
      <c r="Y58" s="392"/>
      <c r="Z58" s="392"/>
      <c r="AA58" s="392"/>
      <c r="AB58" s="392"/>
      <c r="AC58" s="392"/>
      <c r="AD58" s="392"/>
      <c r="AE58" s="392"/>
      <c r="AF58" s="392"/>
      <c r="AG58" s="392"/>
      <c r="AH58" s="324"/>
      <c r="AI58" s="324"/>
      <c r="AJ58" s="324"/>
      <c r="AK58" s="324"/>
      <c r="AL58" s="324"/>
      <c r="AM58" s="324"/>
    </row>
    <row r="59" spans="1:39" s="302" customFormat="1" x14ac:dyDescent="0.3">
      <c r="A59" s="357"/>
      <c r="B59" s="387"/>
      <c r="C59" s="387"/>
      <c r="D59" s="387"/>
      <c r="E59" s="387"/>
      <c r="F59" s="388"/>
      <c r="G59" s="388"/>
      <c r="H59" s="388"/>
      <c r="I59" s="387"/>
      <c r="J59" s="387"/>
      <c r="K59" s="387"/>
      <c r="L59" s="387"/>
      <c r="M59" s="387"/>
      <c r="N59" s="387"/>
      <c r="O59" s="387"/>
      <c r="P59" s="387"/>
      <c r="Q59" s="387"/>
      <c r="R59" s="389"/>
      <c r="S59" s="389"/>
      <c r="T59" s="389"/>
      <c r="U59" s="389"/>
      <c r="V59" s="389"/>
      <c r="W59" s="389"/>
      <c r="X59" s="389"/>
      <c r="Y59" s="389"/>
      <c r="Z59" s="389"/>
      <c r="AA59" s="389"/>
      <c r="AB59" s="389"/>
      <c r="AC59" s="389"/>
      <c r="AD59" s="389"/>
      <c r="AE59" s="389"/>
      <c r="AF59" s="389"/>
      <c r="AG59" s="389"/>
      <c r="AH59" s="357"/>
      <c r="AI59" s="357"/>
      <c r="AJ59" s="357"/>
      <c r="AK59" s="357"/>
      <c r="AL59" s="357"/>
      <c r="AM59" s="357"/>
    </row>
    <row r="60" spans="1:39" x14ac:dyDescent="0.3">
      <c r="A60" s="324"/>
      <c r="B60" s="387"/>
      <c r="C60" s="387"/>
      <c r="D60" s="390"/>
      <c r="E60" s="387"/>
      <c r="F60" s="391"/>
      <c r="G60" s="391"/>
      <c r="H60" s="391"/>
      <c r="I60" s="390"/>
      <c r="J60" s="390"/>
      <c r="K60" s="390"/>
      <c r="L60" s="390"/>
      <c r="M60" s="390"/>
      <c r="N60" s="390"/>
      <c r="O60" s="390"/>
      <c r="P60" s="390"/>
      <c r="Q60" s="390"/>
      <c r="R60" s="392"/>
      <c r="S60" s="392"/>
      <c r="T60" s="392"/>
      <c r="U60" s="392"/>
      <c r="V60" s="392"/>
      <c r="W60" s="392"/>
      <c r="X60" s="392"/>
      <c r="Y60" s="392"/>
      <c r="Z60" s="392"/>
      <c r="AA60" s="392"/>
      <c r="AB60" s="392"/>
      <c r="AC60" s="392"/>
      <c r="AD60" s="392"/>
      <c r="AE60" s="392"/>
      <c r="AF60" s="392"/>
      <c r="AG60" s="392"/>
      <c r="AH60" s="324"/>
      <c r="AI60" s="324"/>
      <c r="AJ60" s="324"/>
      <c r="AK60" s="324"/>
      <c r="AL60" s="324"/>
      <c r="AM60" s="324"/>
    </row>
    <row r="61" spans="1:39" x14ac:dyDescent="0.3">
      <c r="A61" s="324"/>
      <c r="B61" s="387"/>
      <c r="C61" s="387"/>
      <c r="D61" s="390"/>
      <c r="E61" s="387"/>
      <c r="F61" s="391"/>
      <c r="G61" s="391"/>
      <c r="H61" s="391"/>
      <c r="I61" s="390"/>
      <c r="J61" s="390"/>
      <c r="K61" s="390"/>
      <c r="L61" s="390"/>
      <c r="M61" s="390"/>
      <c r="N61" s="390"/>
      <c r="O61" s="390"/>
      <c r="P61" s="390"/>
      <c r="Q61" s="390"/>
      <c r="R61" s="392"/>
      <c r="S61" s="392"/>
      <c r="T61" s="392"/>
      <c r="U61" s="392"/>
      <c r="V61" s="392"/>
      <c r="W61" s="392"/>
      <c r="X61" s="392"/>
      <c r="Y61" s="392"/>
      <c r="Z61" s="392"/>
      <c r="AA61" s="392"/>
      <c r="AB61" s="392"/>
      <c r="AC61" s="392"/>
      <c r="AD61" s="392"/>
      <c r="AE61" s="392"/>
      <c r="AF61" s="392"/>
      <c r="AG61" s="392"/>
      <c r="AH61" s="324"/>
      <c r="AI61" s="324"/>
      <c r="AJ61" s="324"/>
      <c r="AK61" s="324"/>
      <c r="AL61" s="324"/>
      <c r="AM61" s="324"/>
    </row>
    <row r="62" spans="1:39" x14ac:dyDescent="0.3">
      <c r="A62" s="324"/>
      <c r="B62" s="387"/>
      <c r="C62" s="387"/>
      <c r="D62" s="390"/>
      <c r="E62" s="387"/>
      <c r="F62" s="391"/>
      <c r="G62" s="391"/>
      <c r="H62" s="391"/>
      <c r="I62" s="390"/>
      <c r="J62" s="390"/>
      <c r="K62" s="390"/>
      <c r="L62" s="390"/>
      <c r="M62" s="390"/>
      <c r="N62" s="390"/>
      <c r="O62" s="390"/>
      <c r="P62" s="390"/>
      <c r="Q62" s="390"/>
      <c r="R62" s="392"/>
      <c r="S62" s="392"/>
      <c r="T62" s="392"/>
      <c r="U62" s="392"/>
      <c r="V62" s="392"/>
      <c r="W62" s="392"/>
      <c r="X62" s="392"/>
      <c r="Y62" s="392"/>
      <c r="Z62" s="392"/>
      <c r="AA62" s="392"/>
      <c r="AB62" s="392"/>
      <c r="AC62" s="392"/>
      <c r="AD62" s="392"/>
      <c r="AE62" s="392"/>
      <c r="AF62" s="392"/>
      <c r="AG62" s="392"/>
      <c r="AH62" s="324"/>
      <c r="AI62" s="324"/>
      <c r="AJ62" s="324"/>
      <c r="AK62" s="324"/>
      <c r="AL62" s="324"/>
      <c r="AM62" s="324"/>
    </row>
    <row r="63" spans="1:39" x14ac:dyDescent="0.3">
      <c r="A63" s="324"/>
      <c r="B63" s="387"/>
      <c r="C63" s="387"/>
      <c r="D63" s="390"/>
      <c r="E63" s="387"/>
      <c r="F63" s="391"/>
      <c r="G63" s="391"/>
      <c r="H63" s="391"/>
      <c r="I63" s="390"/>
      <c r="J63" s="390"/>
      <c r="K63" s="390"/>
      <c r="L63" s="390"/>
      <c r="M63" s="390"/>
      <c r="N63" s="390"/>
      <c r="O63" s="390"/>
      <c r="P63" s="390"/>
      <c r="Q63" s="390"/>
      <c r="R63" s="392"/>
      <c r="S63" s="392"/>
      <c r="T63" s="392"/>
      <c r="U63" s="392"/>
      <c r="V63" s="392"/>
      <c r="W63" s="392"/>
      <c r="X63" s="392"/>
      <c r="Y63" s="392"/>
      <c r="Z63" s="392"/>
      <c r="AA63" s="392"/>
      <c r="AB63" s="392"/>
      <c r="AC63" s="392"/>
      <c r="AD63" s="392"/>
      <c r="AE63" s="392"/>
      <c r="AF63" s="392"/>
      <c r="AG63" s="392"/>
      <c r="AH63" s="324"/>
      <c r="AI63" s="324"/>
      <c r="AJ63" s="324"/>
      <c r="AK63" s="324"/>
      <c r="AL63" s="324"/>
      <c r="AM63" s="324"/>
    </row>
    <row r="64" spans="1:39" s="302" customFormat="1" x14ac:dyDescent="0.3">
      <c r="A64" s="357"/>
      <c r="B64" s="387"/>
      <c r="C64" s="387"/>
      <c r="D64" s="387"/>
      <c r="E64" s="387"/>
      <c r="F64" s="388"/>
      <c r="G64" s="388"/>
      <c r="H64" s="388"/>
      <c r="I64" s="387"/>
      <c r="J64" s="387"/>
      <c r="K64" s="387"/>
      <c r="L64" s="387"/>
      <c r="M64" s="387"/>
      <c r="N64" s="387"/>
      <c r="O64" s="387"/>
      <c r="P64" s="387"/>
      <c r="Q64" s="387"/>
      <c r="R64" s="389"/>
      <c r="S64" s="389"/>
      <c r="T64" s="389"/>
      <c r="U64" s="389"/>
      <c r="V64" s="389"/>
      <c r="W64" s="389"/>
      <c r="X64" s="389"/>
      <c r="Y64" s="389"/>
      <c r="Z64" s="389"/>
      <c r="AA64" s="389"/>
      <c r="AB64" s="389"/>
      <c r="AC64" s="389"/>
      <c r="AD64" s="389"/>
      <c r="AE64" s="389"/>
      <c r="AF64" s="389"/>
      <c r="AG64" s="389"/>
      <c r="AH64" s="357"/>
      <c r="AI64" s="357"/>
      <c r="AJ64" s="357"/>
      <c r="AK64" s="357"/>
      <c r="AL64" s="357"/>
      <c r="AM64" s="357"/>
    </row>
    <row r="65" spans="1:39" x14ac:dyDescent="0.3">
      <c r="A65" s="324"/>
      <c r="B65" s="387"/>
      <c r="C65" s="387"/>
      <c r="D65" s="390"/>
      <c r="E65" s="387"/>
      <c r="F65" s="391"/>
      <c r="G65" s="391"/>
      <c r="H65" s="391"/>
      <c r="I65" s="390"/>
      <c r="J65" s="390"/>
      <c r="K65" s="390"/>
      <c r="L65" s="390"/>
      <c r="M65" s="390"/>
      <c r="N65" s="390"/>
      <c r="O65" s="390"/>
      <c r="P65" s="390"/>
      <c r="Q65" s="390"/>
      <c r="R65" s="392"/>
      <c r="S65" s="392"/>
      <c r="T65" s="392"/>
      <c r="U65" s="392"/>
      <c r="V65" s="392"/>
      <c r="W65" s="392"/>
      <c r="X65" s="392"/>
      <c r="Y65" s="392"/>
      <c r="Z65" s="392"/>
      <c r="AA65" s="392"/>
      <c r="AB65" s="392"/>
      <c r="AC65" s="392"/>
      <c r="AD65" s="392"/>
      <c r="AE65" s="392"/>
      <c r="AF65" s="392"/>
      <c r="AG65" s="392"/>
      <c r="AH65" s="324"/>
      <c r="AI65" s="324"/>
      <c r="AJ65" s="324"/>
      <c r="AK65" s="324"/>
      <c r="AL65" s="324"/>
      <c r="AM65" s="324"/>
    </row>
    <row r="66" spans="1:39" x14ac:dyDescent="0.3">
      <c r="A66" s="324"/>
      <c r="B66" s="387"/>
      <c r="C66" s="387"/>
      <c r="D66" s="390"/>
      <c r="E66" s="387"/>
      <c r="F66" s="391"/>
      <c r="G66" s="391"/>
      <c r="H66" s="391"/>
      <c r="I66" s="390"/>
      <c r="J66" s="390"/>
      <c r="K66" s="390"/>
      <c r="L66" s="390"/>
      <c r="M66" s="390"/>
      <c r="N66" s="390"/>
      <c r="O66" s="390"/>
      <c r="P66" s="390"/>
      <c r="Q66" s="390"/>
      <c r="R66" s="392"/>
      <c r="S66" s="392"/>
      <c r="T66" s="392"/>
      <c r="U66" s="392"/>
      <c r="V66" s="392"/>
      <c r="W66" s="392"/>
      <c r="X66" s="392"/>
      <c r="Y66" s="392"/>
      <c r="Z66" s="392"/>
      <c r="AA66" s="392"/>
      <c r="AB66" s="392"/>
      <c r="AC66" s="392"/>
      <c r="AD66" s="392"/>
      <c r="AE66" s="392"/>
      <c r="AF66" s="392"/>
      <c r="AG66" s="392"/>
      <c r="AH66" s="324"/>
      <c r="AI66" s="324"/>
      <c r="AJ66" s="324"/>
      <c r="AK66" s="324"/>
      <c r="AL66" s="324"/>
      <c r="AM66" s="324"/>
    </row>
    <row r="67" spans="1:39" x14ac:dyDescent="0.3">
      <c r="A67" s="324"/>
      <c r="B67" s="387"/>
      <c r="C67" s="387"/>
      <c r="D67" s="390"/>
      <c r="E67" s="387"/>
      <c r="F67" s="391"/>
      <c r="G67" s="391"/>
      <c r="H67" s="391"/>
      <c r="I67" s="390"/>
      <c r="J67" s="390"/>
      <c r="K67" s="390"/>
      <c r="L67" s="390"/>
      <c r="M67" s="390"/>
      <c r="N67" s="390"/>
      <c r="O67" s="390"/>
      <c r="P67" s="390"/>
      <c r="Q67" s="390"/>
      <c r="R67" s="392"/>
      <c r="S67" s="392"/>
      <c r="T67" s="392"/>
      <c r="U67" s="392"/>
      <c r="V67" s="392"/>
      <c r="W67" s="392"/>
      <c r="X67" s="392"/>
      <c r="Y67" s="392"/>
      <c r="Z67" s="392"/>
      <c r="AA67" s="392"/>
      <c r="AB67" s="392"/>
      <c r="AC67" s="392"/>
      <c r="AD67" s="392"/>
      <c r="AE67" s="392"/>
      <c r="AF67" s="392"/>
      <c r="AG67" s="392"/>
      <c r="AH67" s="324"/>
      <c r="AI67" s="324"/>
      <c r="AJ67" s="324"/>
      <c r="AK67" s="324"/>
      <c r="AL67" s="324"/>
      <c r="AM67" s="324"/>
    </row>
    <row r="68" spans="1:39" x14ac:dyDescent="0.3">
      <c r="A68" s="324"/>
      <c r="B68" s="387"/>
      <c r="C68" s="387"/>
      <c r="D68" s="390"/>
      <c r="E68" s="387"/>
      <c r="F68" s="391"/>
      <c r="G68" s="391"/>
      <c r="H68" s="391"/>
      <c r="I68" s="390"/>
      <c r="J68" s="390"/>
      <c r="K68" s="390"/>
      <c r="L68" s="390"/>
      <c r="M68" s="390"/>
      <c r="N68" s="390"/>
      <c r="O68" s="390"/>
      <c r="P68" s="390"/>
      <c r="Q68" s="390"/>
      <c r="R68" s="392"/>
      <c r="S68" s="392"/>
      <c r="T68" s="392"/>
      <c r="U68" s="392"/>
      <c r="V68" s="392"/>
      <c r="W68" s="392"/>
      <c r="X68" s="392"/>
      <c r="Y68" s="392"/>
      <c r="Z68" s="392"/>
      <c r="AA68" s="392"/>
      <c r="AB68" s="392"/>
      <c r="AC68" s="392"/>
      <c r="AD68" s="392"/>
      <c r="AE68" s="392"/>
      <c r="AF68" s="392"/>
      <c r="AG68" s="392"/>
      <c r="AH68" s="324"/>
      <c r="AI68" s="324"/>
      <c r="AJ68" s="324"/>
      <c r="AK68" s="324"/>
      <c r="AL68" s="324"/>
      <c r="AM68" s="324"/>
    </row>
    <row r="69" spans="1:39" s="302" customFormat="1" x14ac:dyDescent="0.3">
      <c r="A69" s="357"/>
      <c r="B69" s="387"/>
      <c r="C69" s="387"/>
      <c r="D69" s="387"/>
      <c r="E69" s="387"/>
      <c r="F69" s="388"/>
      <c r="G69" s="388"/>
      <c r="H69" s="388"/>
      <c r="I69" s="393"/>
      <c r="J69" s="387"/>
      <c r="K69" s="387"/>
      <c r="L69" s="387"/>
      <c r="M69" s="387"/>
      <c r="N69" s="387"/>
      <c r="O69" s="387"/>
      <c r="P69" s="387"/>
      <c r="Q69" s="387"/>
      <c r="R69" s="389"/>
      <c r="S69" s="389"/>
      <c r="T69" s="389"/>
      <c r="U69" s="389"/>
      <c r="V69" s="389"/>
      <c r="W69" s="389"/>
      <c r="X69" s="389"/>
      <c r="Y69" s="389"/>
      <c r="Z69" s="389"/>
      <c r="AA69" s="389"/>
      <c r="AB69" s="389"/>
      <c r="AC69" s="389"/>
      <c r="AD69" s="389"/>
      <c r="AE69" s="389"/>
      <c r="AF69" s="389"/>
      <c r="AG69" s="389"/>
      <c r="AH69" s="357"/>
      <c r="AI69" s="357"/>
      <c r="AJ69" s="357"/>
      <c r="AK69" s="357"/>
      <c r="AL69" s="357"/>
      <c r="AM69" s="357"/>
    </row>
    <row r="70" spans="1:39" x14ac:dyDescent="0.3">
      <c r="A70" s="324"/>
      <c r="B70" s="387"/>
      <c r="C70" s="387"/>
      <c r="D70" s="390"/>
      <c r="E70" s="387"/>
      <c r="F70" s="391"/>
      <c r="G70" s="391"/>
      <c r="H70" s="391"/>
      <c r="I70" s="394"/>
      <c r="J70" s="390"/>
      <c r="K70" s="390"/>
      <c r="L70" s="390"/>
      <c r="M70" s="390"/>
      <c r="N70" s="390"/>
      <c r="O70" s="390"/>
      <c r="P70" s="390"/>
      <c r="Q70" s="390"/>
      <c r="R70" s="392"/>
      <c r="S70" s="392"/>
      <c r="T70" s="392"/>
      <c r="U70" s="392"/>
      <c r="V70" s="392"/>
      <c r="W70" s="392"/>
      <c r="X70" s="392"/>
      <c r="Y70" s="392"/>
      <c r="Z70" s="392"/>
      <c r="AA70" s="392"/>
      <c r="AB70" s="392"/>
      <c r="AC70" s="392"/>
      <c r="AD70" s="392"/>
      <c r="AE70" s="392"/>
      <c r="AF70" s="392"/>
      <c r="AG70" s="392"/>
      <c r="AH70" s="324"/>
      <c r="AI70" s="324"/>
      <c r="AJ70" s="324"/>
      <c r="AK70" s="324"/>
      <c r="AL70" s="324"/>
      <c r="AM70" s="324"/>
    </row>
    <row r="71" spans="1:39" x14ac:dyDescent="0.3">
      <c r="A71" s="324"/>
      <c r="B71" s="387"/>
      <c r="C71" s="387"/>
      <c r="D71" s="390"/>
      <c r="E71" s="387"/>
      <c r="F71" s="391"/>
      <c r="G71" s="391"/>
      <c r="H71" s="391"/>
      <c r="I71" s="394"/>
      <c r="J71" s="390"/>
      <c r="K71" s="390"/>
      <c r="L71" s="390"/>
      <c r="M71" s="390"/>
      <c r="N71" s="390"/>
      <c r="O71" s="390"/>
      <c r="P71" s="390"/>
      <c r="Q71" s="390"/>
      <c r="R71" s="392"/>
      <c r="S71" s="392"/>
      <c r="T71" s="392"/>
      <c r="U71" s="392"/>
      <c r="V71" s="392"/>
      <c r="W71" s="392"/>
      <c r="X71" s="392"/>
      <c r="Y71" s="392"/>
      <c r="Z71" s="392"/>
      <c r="AA71" s="392"/>
      <c r="AB71" s="392"/>
      <c r="AC71" s="392"/>
      <c r="AD71" s="392"/>
      <c r="AE71" s="392"/>
      <c r="AF71" s="392"/>
      <c r="AG71" s="392"/>
      <c r="AH71" s="324"/>
      <c r="AI71" s="324"/>
      <c r="AJ71" s="324"/>
      <c r="AK71" s="324"/>
      <c r="AL71" s="324"/>
      <c r="AM71" s="324"/>
    </row>
    <row r="72" spans="1:39" x14ac:dyDescent="0.3">
      <c r="A72" s="324"/>
      <c r="B72" s="387"/>
      <c r="C72" s="387"/>
      <c r="D72" s="390"/>
      <c r="E72" s="387"/>
      <c r="F72" s="391"/>
      <c r="G72" s="391"/>
      <c r="H72" s="391"/>
      <c r="I72" s="394"/>
      <c r="J72" s="390"/>
      <c r="K72" s="390"/>
      <c r="L72" s="390"/>
      <c r="M72" s="390"/>
      <c r="N72" s="390"/>
      <c r="O72" s="390"/>
      <c r="P72" s="390"/>
      <c r="Q72" s="390"/>
      <c r="R72" s="392"/>
      <c r="S72" s="392"/>
      <c r="T72" s="392"/>
      <c r="U72" s="392"/>
      <c r="V72" s="392"/>
      <c r="W72" s="392"/>
      <c r="X72" s="392"/>
      <c r="Y72" s="392"/>
      <c r="Z72" s="392"/>
      <c r="AA72" s="392"/>
      <c r="AB72" s="392"/>
      <c r="AC72" s="392"/>
      <c r="AD72" s="392"/>
      <c r="AE72" s="392"/>
      <c r="AF72" s="392"/>
      <c r="AG72" s="392"/>
      <c r="AH72" s="324"/>
      <c r="AI72" s="324"/>
      <c r="AJ72" s="324"/>
      <c r="AK72" s="324"/>
      <c r="AL72" s="324"/>
      <c r="AM72" s="324"/>
    </row>
    <row r="73" spans="1:39" x14ac:dyDescent="0.3">
      <c r="A73" s="324"/>
      <c r="B73" s="387"/>
      <c r="C73" s="387"/>
      <c r="D73" s="390"/>
      <c r="E73" s="387"/>
      <c r="F73" s="391"/>
      <c r="G73" s="391"/>
      <c r="H73" s="391"/>
      <c r="I73" s="394"/>
      <c r="J73" s="390"/>
      <c r="K73" s="390"/>
      <c r="L73" s="390"/>
      <c r="M73" s="390"/>
      <c r="N73" s="390"/>
      <c r="O73" s="390"/>
      <c r="P73" s="390"/>
      <c r="Q73" s="390"/>
      <c r="R73" s="392"/>
      <c r="S73" s="392"/>
      <c r="T73" s="392"/>
      <c r="U73" s="392"/>
      <c r="V73" s="392"/>
      <c r="W73" s="392"/>
      <c r="X73" s="392"/>
      <c r="Y73" s="392"/>
      <c r="Z73" s="392"/>
      <c r="AA73" s="392"/>
      <c r="AB73" s="392"/>
      <c r="AC73" s="392"/>
      <c r="AD73" s="392"/>
      <c r="AE73" s="392"/>
      <c r="AF73" s="392"/>
      <c r="AG73" s="392"/>
      <c r="AH73" s="324"/>
      <c r="AI73" s="324"/>
      <c r="AJ73" s="324"/>
      <c r="AK73" s="324"/>
      <c r="AL73" s="324"/>
      <c r="AM73" s="324"/>
    </row>
    <row r="74" spans="1:39" s="302" customFormat="1" x14ac:dyDescent="0.3">
      <c r="A74" s="357"/>
      <c r="B74" s="387"/>
      <c r="C74" s="387"/>
      <c r="D74" s="387"/>
      <c r="E74" s="387"/>
      <c r="F74" s="388"/>
      <c r="G74" s="388"/>
      <c r="H74" s="388"/>
      <c r="I74" s="393"/>
      <c r="J74" s="387"/>
      <c r="K74" s="387"/>
      <c r="L74" s="387"/>
      <c r="M74" s="387"/>
      <c r="N74" s="387"/>
      <c r="O74" s="387"/>
      <c r="P74" s="387"/>
      <c r="Q74" s="387"/>
      <c r="R74" s="389"/>
      <c r="S74" s="389"/>
      <c r="T74" s="389"/>
      <c r="U74" s="389"/>
      <c r="V74" s="389"/>
      <c r="W74" s="389"/>
      <c r="X74" s="389"/>
      <c r="Y74" s="389"/>
      <c r="Z74" s="389"/>
      <c r="AA74" s="389"/>
      <c r="AB74" s="389"/>
      <c r="AC74" s="389"/>
      <c r="AD74" s="389"/>
      <c r="AE74" s="389"/>
      <c r="AF74" s="389"/>
      <c r="AG74" s="389"/>
      <c r="AH74" s="357"/>
      <c r="AI74" s="357"/>
      <c r="AJ74" s="357"/>
      <c r="AK74" s="357"/>
      <c r="AL74" s="357"/>
      <c r="AM74" s="357"/>
    </row>
    <row r="75" spans="1:39" x14ac:dyDescent="0.3">
      <c r="A75" s="324"/>
      <c r="B75" s="387"/>
      <c r="C75" s="387"/>
      <c r="D75" s="390"/>
      <c r="E75" s="387"/>
      <c r="F75" s="391"/>
      <c r="G75" s="391"/>
      <c r="H75" s="391"/>
      <c r="I75" s="394"/>
      <c r="J75" s="390"/>
      <c r="K75" s="390"/>
      <c r="L75" s="390"/>
      <c r="M75" s="390"/>
      <c r="N75" s="390"/>
      <c r="O75" s="390"/>
      <c r="P75" s="390"/>
      <c r="Q75" s="390"/>
      <c r="R75" s="392"/>
      <c r="S75" s="392"/>
      <c r="T75" s="392"/>
      <c r="U75" s="392"/>
      <c r="V75" s="392"/>
      <c r="W75" s="392"/>
      <c r="X75" s="392"/>
      <c r="Y75" s="392"/>
      <c r="Z75" s="392"/>
      <c r="AA75" s="392"/>
      <c r="AB75" s="392"/>
      <c r="AC75" s="392"/>
      <c r="AD75" s="392"/>
      <c r="AE75" s="392"/>
      <c r="AF75" s="392"/>
      <c r="AG75" s="392"/>
      <c r="AH75" s="324"/>
      <c r="AI75" s="324"/>
      <c r="AJ75" s="324"/>
      <c r="AK75" s="324"/>
      <c r="AL75" s="324"/>
      <c r="AM75" s="324"/>
    </row>
    <row r="76" spans="1:39" x14ac:dyDescent="0.3">
      <c r="A76" s="324"/>
      <c r="B76" s="387"/>
      <c r="C76" s="387"/>
      <c r="D76" s="390"/>
      <c r="E76" s="387"/>
      <c r="F76" s="391"/>
      <c r="G76" s="391"/>
      <c r="H76" s="391"/>
      <c r="I76" s="394"/>
      <c r="J76" s="390"/>
      <c r="K76" s="390"/>
      <c r="L76" s="390"/>
      <c r="M76" s="390"/>
      <c r="N76" s="390"/>
      <c r="O76" s="390"/>
      <c r="P76" s="390"/>
      <c r="Q76" s="390"/>
      <c r="R76" s="392"/>
      <c r="S76" s="392"/>
      <c r="T76" s="392"/>
      <c r="U76" s="392"/>
      <c r="V76" s="392"/>
      <c r="W76" s="392"/>
      <c r="X76" s="392"/>
      <c r="Y76" s="392"/>
      <c r="Z76" s="392"/>
      <c r="AA76" s="392"/>
      <c r="AB76" s="392"/>
      <c r="AC76" s="392"/>
      <c r="AD76" s="392"/>
      <c r="AE76" s="392"/>
      <c r="AF76" s="392"/>
      <c r="AG76" s="392"/>
      <c r="AH76" s="324"/>
      <c r="AI76" s="324"/>
      <c r="AJ76" s="324"/>
      <c r="AK76" s="324"/>
      <c r="AL76" s="324"/>
      <c r="AM76" s="324"/>
    </row>
    <row r="77" spans="1:39" x14ac:dyDescent="0.3">
      <c r="A77" s="324"/>
      <c r="B77" s="387"/>
      <c r="C77" s="387"/>
      <c r="D77" s="390"/>
      <c r="E77" s="387"/>
      <c r="F77" s="391"/>
      <c r="G77" s="391"/>
      <c r="H77" s="391"/>
      <c r="I77" s="394"/>
      <c r="J77" s="390"/>
      <c r="K77" s="390"/>
      <c r="L77" s="390"/>
      <c r="M77" s="390"/>
      <c r="N77" s="390"/>
      <c r="O77" s="390"/>
      <c r="P77" s="390"/>
      <c r="Q77" s="390"/>
      <c r="R77" s="392"/>
      <c r="S77" s="392"/>
      <c r="T77" s="392"/>
      <c r="U77" s="392"/>
      <c r="V77" s="392"/>
      <c r="W77" s="392"/>
      <c r="X77" s="392"/>
      <c r="Y77" s="392"/>
      <c r="Z77" s="392"/>
      <c r="AA77" s="392"/>
      <c r="AB77" s="392"/>
      <c r="AC77" s="392"/>
      <c r="AD77" s="392"/>
      <c r="AE77" s="392"/>
      <c r="AF77" s="392"/>
      <c r="AG77" s="392"/>
      <c r="AH77" s="324"/>
      <c r="AI77" s="324"/>
      <c r="AJ77" s="324"/>
      <c r="AK77" s="324"/>
      <c r="AL77" s="324"/>
      <c r="AM77" s="324"/>
    </row>
    <row r="78" spans="1:39" x14ac:dyDescent="0.3">
      <c r="A78" s="324"/>
      <c r="B78" s="387"/>
      <c r="C78" s="387"/>
      <c r="D78" s="390"/>
      <c r="E78" s="387"/>
      <c r="F78" s="391"/>
      <c r="G78" s="391"/>
      <c r="H78" s="391"/>
      <c r="I78" s="394"/>
      <c r="J78" s="390"/>
      <c r="K78" s="390"/>
      <c r="L78" s="390"/>
      <c r="M78" s="390"/>
      <c r="N78" s="390"/>
      <c r="O78" s="390"/>
      <c r="P78" s="390"/>
      <c r="Q78" s="390"/>
      <c r="R78" s="392"/>
      <c r="S78" s="392"/>
      <c r="T78" s="392"/>
      <c r="U78" s="392"/>
      <c r="V78" s="392"/>
      <c r="W78" s="392"/>
      <c r="X78" s="392"/>
      <c r="Y78" s="392"/>
      <c r="Z78" s="392"/>
      <c r="AA78" s="392"/>
      <c r="AB78" s="392"/>
      <c r="AC78" s="392"/>
      <c r="AD78" s="392"/>
      <c r="AE78" s="392"/>
      <c r="AF78" s="392"/>
      <c r="AG78" s="392"/>
      <c r="AH78" s="324"/>
      <c r="AI78" s="324"/>
      <c r="AJ78" s="324"/>
      <c r="AK78" s="324"/>
      <c r="AL78" s="324"/>
      <c r="AM78" s="324"/>
    </row>
    <row r="79" spans="1:39" x14ac:dyDescent="0.3">
      <c r="A79" s="324"/>
      <c r="B79" s="387"/>
      <c r="C79" s="387"/>
      <c r="D79" s="390"/>
      <c r="E79" s="387"/>
      <c r="F79" s="391"/>
      <c r="G79" s="391"/>
      <c r="H79" s="391"/>
      <c r="I79" s="394"/>
      <c r="J79" s="390"/>
      <c r="K79" s="390"/>
      <c r="L79" s="390"/>
      <c r="M79" s="390"/>
      <c r="N79" s="390"/>
      <c r="O79" s="390"/>
      <c r="P79" s="390"/>
      <c r="Q79" s="390"/>
      <c r="R79" s="392"/>
      <c r="S79" s="392"/>
      <c r="T79" s="392"/>
      <c r="U79" s="392"/>
      <c r="V79" s="392"/>
      <c r="W79" s="392"/>
      <c r="X79" s="392"/>
      <c r="Y79" s="392"/>
      <c r="Z79" s="392"/>
      <c r="AA79" s="392"/>
      <c r="AB79" s="392"/>
      <c r="AC79" s="392"/>
      <c r="AD79" s="392"/>
      <c r="AE79" s="392"/>
      <c r="AF79" s="392"/>
      <c r="AG79" s="392"/>
      <c r="AH79" s="324"/>
      <c r="AI79" s="324"/>
      <c r="AJ79" s="324"/>
      <c r="AK79" s="324"/>
      <c r="AL79" s="324"/>
      <c r="AM79" s="324"/>
    </row>
    <row r="80" spans="1:39" x14ac:dyDescent="0.3">
      <c r="A80" s="324"/>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4"/>
      <c r="AL80" s="324"/>
      <c r="AM80" s="324"/>
    </row>
    <row r="81" spans="1:39" x14ac:dyDescent="0.3">
      <c r="A81" s="324"/>
      <c r="B81" s="858"/>
      <c r="C81" s="858"/>
      <c r="D81" s="414"/>
      <c r="E81" s="414"/>
      <c r="F81" s="415"/>
      <c r="G81" s="449"/>
      <c r="H81" s="449"/>
      <c r="I81" s="449"/>
      <c r="J81" s="450"/>
      <c r="K81" s="450"/>
      <c r="L81" s="450"/>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4"/>
      <c r="AL81" s="324"/>
      <c r="AM81" s="324"/>
    </row>
    <row r="82" spans="1:39" x14ac:dyDescent="0.3">
      <c r="A82" s="324"/>
      <c r="B82" s="858"/>
      <c r="C82" s="858"/>
      <c r="D82" s="406"/>
      <c r="E82" s="406"/>
      <c r="F82" s="406"/>
      <c r="G82" s="859"/>
      <c r="H82" s="859"/>
      <c r="I82" s="859"/>
      <c r="J82" s="324"/>
      <c r="K82" s="324"/>
      <c r="L82" s="859"/>
      <c r="M82" s="859"/>
      <c r="N82" s="859"/>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4"/>
      <c r="AL82" s="324"/>
      <c r="AM82" s="324"/>
    </row>
    <row r="83" spans="1:39" x14ac:dyDescent="0.3">
      <c r="A83" s="324"/>
      <c r="B83" s="860"/>
      <c r="C83" s="861"/>
      <c r="D83" s="861"/>
      <c r="E83" s="860"/>
      <c r="F83" s="860"/>
      <c r="G83" s="857"/>
      <c r="H83" s="857"/>
      <c r="I83" s="857"/>
      <c r="J83" s="856"/>
      <c r="K83" s="856"/>
      <c r="L83" s="857"/>
      <c r="M83" s="857"/>
      <c r="N83" s="857"/>
      <c r="O83" s="856"/>
      <c r="P83" s="856"/>
      <c r="Q83" s="324"/>
      <c r="R83" s="324"/>
      <c r="S83" s="324"/>
      <c r="T83" s="324"/>
      <c r="U83" s="324"/>
      <c r="V83" s="324"/>
      <c r="W83" s="324"/>
      <c r="X83" s="324"/>
      <c r="Y83" s="324"/>
      <c r="Z83" s="324"/>
      <c r="AA83" s="324"/>
      <c r="AB83" s="324"/>
      <c r="AC83" s="324"/>
      <c r="AD83" s="324"/>
      <c r="AE83" s="324"/>
      <c r="AF83" s="324"/>
      <c r="AG83" s="324"/>
      <c r="AH83" s="324"/>
      <c r="AI83" s="324"/>
      <c r="AJ83" s="324"/>
      <c r="AK83" s="324"/>
      <c r="AL83" s="324"/>
      <c r="AM83" s="324"/>
    </row>
    <row r="84" spans="1:39" x14ac:dyDescent="0.3">
      <c r="A84" s="324"/>
      <c r="B84" s="860"/>
      <c r="C84" s="861"/>
      <c r="D84" s="861"/>
      <c r="E84" s="860"/>
      <c r="F84" s="860"/>
      <c r="G84" s="857"/>
      <c r="H84" s="857"/>
      <c r="I84" s="857"/>
      <c r="J84" s="856"/>
      <c r="K84" s="856"/>
      <c r="L84" s="857"/>
      <c r="M84" s="857"/>
      <c r="N84" s="857"/>
      <c r="O84" s="856"/>
      <c r="P84" s="856"/>
      <c r="Q84" s="324"/>
      <c r="R84" s="324"/>
      <c r="S84" s="324"/>
      <c r="T84" s="324"/>
      <c r="U84" s="324"/>
      <c r="V84" s="324"/>
      <c r="W84" s="324"/>
      <c r="X84" s="324"/>
      <c r="Y84" s="324"/>
      <c r="Z84" s="324"/>
      <c r="AA84" s="324"/>
      <c r="AB84" s="324"/>
      <c r="AC84" s="324"/>
      <c r="AD84" s="324"/>
      <c r="AE84" s="324"/>
      <c r="AF84" s="324"/>
      <c r="AG84" s="324"/>
      <c r="AH84" s="324"/>
      <c r="AI84" s="324"/>
      <c r="AJ84" s="324"/>
      <c r="AK84" s="324"/>
      <c r="AL84" s="324"/>
      <c r="AM84" s="324"/>
    </row>
    <row r="85" spans="1:39" x14ac:dyDescent="0.3">
      <c r="A85" s="324"/>
      <c r="B85" s="406"/>
      <c r="C85" s="451"/>
      <c r="D85" s="451"/>
      <c r="E85" s="451"/>
      <c r="F85" s="451"/>
      <c r="G85" s="456"/>
      <c r="H85" s="456"/>
      <c r="I85" s="456"/>
      <c r="J85" s="456"/>
      <c r="K85" s="456"/>
      <c r="L85" s="406"/>
      <c r="M85" s="406"/>
      <c r="N85" s="406"/>
      <c r="O85" s="406"/>
      <c r="P85" s="406"/>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row>
    <row r="86" spans="1:39" x14ac:dyDescent="0.3">
      <c r="A86" s="324"/>
      <c r="B86" s="406"/>
      <c r="C86" s="451"/>
      <c r="D86" s="451"/>
      <c r="E86" s="451"/>
      <c r="F86" s="451"/>
      <c r="G86" s="456"/>
      <c r="H86" s="456"/>
      <c r="I86" s="456"/>
      <c r="J86" s="456"/>
      <c r="K86" s="456"/>
      <c r="L86" s="406"/>
      <c r="M86" s="406"/>
      <c r="N86" s="406"/>
      <c r="O86" s="406"/>
      <c r="P86" s="406"/>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row>
    <row r="87" spans="1:39" x14ac:dyDescent="0.3">
      <c r="A87" s="324"/>
      <c r="B87" s="406"/>
      <c r="C87" s="451"/>
      <c r="D87" s="451"/>
      <c r="E87" s="451"/>
      <c r="F87" s="451"/>
      <c r="G87" s="456"/>
      <c r="H87" s="456"/>
      <c r="I87" s="456"/>
      <c r="J87" s="456"/>
      <c r="K87" s="456"/>
      <c r="L87" s="406"/>
      <c r="M87" s="406"/>
      <c r="N87" s="406"/>
      <c r="O87" s="406"/>
      <c r="P87" s="406"/>
      <c r="Q87" s="324"/>
      <c r="R87" s="324"/>
      <c r="S87" s="324"/>
      <c r="T87" s="324"/>
      <c r="U87" s="324"/>
      <c r="V87" s="324"/>
      <c r="W87" s="324"/>
      <c r="X87" s="324"/>
      <c r="Y87" s="324"/>
      <c r="Z87" s="324"/>
      <c r="AA87" s="324"/>
      <c r="AB87" s="324"/>
      <c r="AC87" s="324"/>
      <c r="AD87" s="324"/>
      <c r="AE87" s="324"/>
      <c r="AF87" s="324"/>
      <c r="AG87" s="324"/>
      <c r="AH87" s="324"/>
      <c r="AI87" s="324"/>
      <c r="AJ87" s="324"/>
      <c r="AK87" s="324"/>
      <c r="AL87" s="324"/>
      <c r="AM87" s="324"/>
    </row>
    <row r="88" spans="1:39" x14ac:dyDescent="0.3">
      <c r="A88" s="324"/>
      <c r="B88" s="406"/>
      <c r="C88" s="451"/>
      <c r="D88" s="451"/>
      <c r="E88" s="451"/>
      <c r="F88" s="451"/>
      <c r="G88" s="456"/>
      <c r="H88" s="456"/>
      <c r="I88" s="456"/>
      <c r="J88" s="456"/>
      <c r="K88" s="456"/>
      <c r="L88" s="406"/>
      <c r="M88" s="406"/>
      <c r="N88" s="406"/>
      <c r="O88" s="406"/>
      <c r="P88" s="406"/>
      <c r="Q88" s="324"/>
      <c r="R88" s="324"/>
      <c r="S88" s="324"/>
      <c r="T88" s="324"/>
      <c r="U88" s="324"/>
      <c r="V88" s="324"/>
      <c r="W88" s="324"/>
      <c r="X88" s="324"/>
      <c r="Y88" s="324"/>
      <c r="Z88" s="324"/>
      <c r="AA88" s="324"/>
      <c r="AB88" s="324"/>
      <c r="AC88" s="324"/>
      <c r="AD88" s="324"/>
      <c r="AE88" s="324"/>
      <c r="AF88" s="324"/>
      <c r="AG88" s="324"/>
      <c r="AH88" s="324"/>
      <c r="AI88" s="324"/>
      <c r="AJ88" s="324"/>
      <c r="AK88" s="324"/>
      <c r="AL88" s="324"/>
      <c r="AM88" s="324"/>
    </row>
    <row r="89" spans="1:39" x14ac:dyDescent="0.3">
      <c r="A89" s="324"/>
      <c r="B89" s="406"/>
      <c r="C89" s="451"/>
      <c r="D89" s="451"/>
      <c r="E89" s="451"/>
      <c r="F89" s="451"/>
      <c r="G89" s="456"/>
      <c r="H89" s="456"/>
      <c r="I89" s="456"/>
      <c r="J89" s="456"/>
      <c r="K89" s="456"/>
      <c r="L89" s="406"/>
      <c r="M89" s="406"/>
      <c r="N89" s="406"/>
      <c r="O89" s="406"/>
      <c r="P89" s="406"/>
      <c r="Q89" s="324"/>
      <c r="R89" s="324"/>
      <c r="S89" s="324"/>
      <c r="T89" s="324"/>
      <c r="U89" s="324"/>
      <c r="V89" s="324"/>
      <c r="W89" s="324"/>
      <c r="X89" s="324"/>
      <c r="Y89" s="324"/>
      <c r="Z89" s="324"/>
      <c r="AA89" s="324"/>
      <c r="AB89" s="324"/>
      <c r="AC89" s="324"/>
      <c r="AD89" s="324"/>
      <c r="AE89" s="324"/>
      <c r="AF89" s="324"/>
      <c r="AG89" s="324"/>
      <c r="AH89" s="324"/>
      <c r="AI89" s="324"/>
      <c r="AJ89" s="324"/>
      <c r="AK89" s="324"/>
      <c r="AL89" s="324"/>
      <c r="AM89" s="324"/>
    </row>
    <row r="90" spans="1:39" x14ac:dyDescent="0.3">
      <c r="A90" s="324"/>
      <c r="B90" s="406"/>
      <c r="C90" s="451"/>
      <c r="D90" s="451"/>
      <c r="E90" s="451"/>
      <c r="F90" s="451"/>
      <c r="G90" s="456"/>
      <c r="H90" s="456"/>
      <c r="I90" s="456"/>
      <c r="J90" s="324"/>
      <c r="K90" s="324"/>
      <c r="L90" s="406"/>
      <c r="M90" s="406"/>
      <c r="N90" s="406"/>
      <c r="O90" s="406"/>
      <c r="P90" s="406"/>
      <c r="Q90" s="324"/>
      <c r="R90" s="324"/>
      <c r="S90" s="324"/>
      <c r="T90" s="324"/>
      <c r="U90" s="324"/>
      <c r="V90" s="324"/>
      <c r="W90" s="324"/>
      <c r="X90" s="324"/>
      <c r="Y90" s="324"/>
      <c r="Z90" s="324"/>
      <c r="AA90" s="324"/>
      <c r="AB90" s="324"/>
      <c r="AC90" s="324"/>
      <c r="AD90" s="324"/>
      <c r="AE90" s="324"/>
      <c r="AF90" s="324"/>
      <c r="AG90" s="324"/>
      <c r="AH90" s="324"/>
      <c r="AI90" s="324"/>
      <c r="AJ90" s="324"/>
      <c r="AK90" s="324"/>
      <c r="AL90" s="324"/>
      <c r="AM90" s="324"/>
    </row>
    <row r="91" spans="1:39" x14ac:dyDescent="0.3">
      <c r="A91" s="324"/>
      <c r="B91" s="457"/>
      <c r="C91" s="452"/>
      <c r="D91" s="452"/>
      <c r="E91" s="452"/>
      <c r="F91" s="452"/>
      <c r="G91" s="457"/>
      <c r="H91" s="457"/>
      <c r="I91" s="456"/>
      <c r="J91" s="324"/>
      <c r="K91" s="324"/>
      <c r="L91" s="406"/>
      <c r="M91" s="406"/>
      <c r="N91" s="406"/>
      <c r="O91" s="406"/>
      <c r="P91" s="406"/>
      <c r="Q91" s="324"/>
      <c r="R91" s="324"/>
      <c r="S91" s="324"/>
      <c r="T91" s="324"/>
      <c r="U91" s="324"/>
      <c r="V91" s="324"/>
      <c r="W91" s="324"/>
      <c r="X91" s="324"/>
      <c r="Y91" s="324"/>
      <c r="Z91" s="324"/>
      <c r="AA91" s="324"/>
      <c r="AB91" s="324"/>
      <c r="AC91" s="324"/>
      <c r="AD91" s="324"/>
      <c r="AE91" s="324"/>
      <c r="AF91" s="324"/>
      <c r="AG91" s="324"/>
      <c r="AH91" s="324"/>
      <c r="AI91" s="324"/>
      <c r="AJ91" s="324"/>
      <c r="AK91" s="324"/>
      <c r="AL91" s="324"/>
      <c r="AM91" s="324"/>
    </row>
    <row r="92" spans="1:39" x14ac:dyDescent="0.3">
      <c r="A92" s="324"/>
      <c r="B92" s="458"/>
      <c r="C92" s="452"/>
      <c r="D92" s="452"/>
      <c r="E92" s="452"/>
      <c r="F92" s="452"/>
      <c r="G92" s="452"/>
      <c r="H92" s="452"/>
      <c r="I92" s="456"/>
      <c r="J92" s="324"/>
      <c r="K92" s="324"/>
      <c r="L92" s="406"/>
      <c r="M92" s="406"/>
      <c r="N92" s="406"/>
      <c r="O92" s="406"/>
      <c r="P92" s="406"/>
      <c r="Q92" s="324"/>
      <c r="R92" s="324"/>
      <c r="S92" s="324"/>
      <c r="T92" s="324"/>
      <c r="U92" s="324"/>
      <c r="V92" s="324"/>
      <c r="W92" s="324"/>
      <c r="X92" s="324"/>
      <c r="Y92" s="324"/>
      <c r="Z92" s="324"/>
      <c r="AA92" s="324"/>
      <c r="AB92" s="324"/>
      <c r="AC92" s="324"/>
      <c r="AD92" s="324"/>
      <c r="AE92" s="324"/>
      <c r="AF92" s="324"/>
      <c r="AG92" s="324"/>
      <c r="AH92" s="324"/>
      <c r="AI92" s="324"/>
      <c r="AJ92" s="324"/>
      <c r="AK92" s="324"/>
      <c r="AL92" s="324"/>
      <c r="AM92" s="324"/>
    </row>
    <row r="93" spans="1:39" x14ac:dyDescent="0.3">
      <c r="A93" s="324"/>
      <c r="B93" s="458"/>
      <c r="C93" s="452"/>
      <c r="D93" s="452"/>
      <c r="E93" s="452"/>
      <c r="F93" s="452"/>
      <c r="G93" s="452"/>
      <c r="H93" s="452"/>
      <c r="I93" s="456"/>
      <c r="J93" s="324"/>
      <c r="K93" s="324"/>
      <c r="L93" s="406"/>
      <c r="M93" s="406"/>
      <c r="N93" s="406"/>
      <c r="O93" s="406"/>
      <c r="P93" s="406"/>
      <c r="Q93" s="324"/>
      <c r="R93" s="324"/>
      <c r="S93" s="324"/>
      <c r="T93" s="324"/>
      <c r="U93" s="324"/>
      <c r="V93" s="324"/>
      <c r="W93" s="324"/>
      <c r="X93" s="324"/>
      <c r="Y93" s="324"/>
      <c r="Z93" s="324"/>
      <c r="AA93" s="324"/>
      <c r="AB93" s="324"/>
      <c r="AC93" s="324"/>
      <c r="AD93" s="324"/>
      <c r="AE93" s="324"/>
      <c r="AF93" s="324"/>
      <c r="AG93" s="324"/>
      <c r="AH93" s="324"/>
      <c r="AI93" s="324"/>
      <c r="AJ93" s="324"/>
      <c r="AK93" s="324"/>
      <c r="AL93" s="324"/>
      <c r="AM93" s="324"/>
    </row>
    <row r="94" spans="1:39" x14ac:dyDescent="0.3">
      <c r="A94" s="324"/>
      <c r="B94" s="458"/>
      <c r="C94" s="452"/>
      <c r="D94" s="452"/>
      <c r="E94" s="452"/>
      <c r="F94" s="452"/>
      <c r="G94" s="452"/>
      <c r="H94" s="452"/>
      <c r="I94" s="456"/>
      <c r="J94" s="324"/>
      <c r="K94" s="324"/>
      <c r="L94" s="406"/>
      <c r="M94" s="406"/>
      <c r="N94" s="406"/>
      <c r="O94" s="406"/>
      <c r="P94" s="406"/>
      <c r="Q94" s="324"/>
      <c r="R94" s="324"/>
      <c r="S94" s="324"/>
      <c r="T94" s="324"/>
      <c r="U94" s="324"/>
      <c r="V94" s="324"/>
      <c r="W94" s="324"/>
      <c r="X94" s="324"/>
      <c r="Y94" s="324"/>
      <c r="Z94" s="324"/>
      <c r="AA94" s="324"/>
      <c r="AB94" s="324"/>
      <c r="AC94" s="324"/>
      <c r="AD94" s="324"/>
      <c r="AE94" s="324"/>
      <c r="AF94" s="324"/>
      <c r="AG94" s="324"/>
      <c r="AH94" s="324"/>
      <c r="AI94" s="324"/>
      <c r="AJ94" s="324"/>
      <c r="AK94" s="324"/>
      <c r="AL94" s="324"/>
      <c r="AM94" s="324"/>
    </row>
    <row r="95" spans="1:39" x14ac:dyDescent="0.3">
      <c r="A95" s="324"/>
      <c r="B95" s="458"/>
      <c r="C95" s="457"/>
      <c r="D95" s="452"/>
      <c r="E95" s="452"/>
      <c r="F95" s="452"/>
      <c r="G95" s="452"/>
      <c r="H95" s="452"/>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row>
    <row r="96" spans="1:39" x14ac:dyDescent="0.3">
      <c r="A96" s="324"/>
      <c r="B96" s="458"/>
      <c r="C96" s="457"/>
      <c r="D96" s="452"/>
      <c r="E96" s="452"/>
      <c r="F96" s="452"/>
      <c r="G96" s="452"/>
      <c r="H96" s="452"/>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4"/>
      <c r="AL96" s="324"/>
      <c r="AM96" s="324"/>
    </row>
    <row r="97" spans="1:39" x14ac:dyDescent="0.3">
      <c r="A97" s="324"/>
      <c r="B97" s="458"/>
      <c r="C97" s="457"/>
      <c r="D97" s="452"/>
      <c r="E97" s="452"/>
      <c r="F97" s="452"/>
      <c r="G97" s="452"/>
      <c r="H97" s="452"/>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4"/>
      <c r="AL97" s="324"/>
      <c r="AM97" s="324"/>
    </row>
    <row r="98" spans="1:39" x14ac:dyDescent="0.3">
      <c r="A98" s="324"/>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4"/>
      <c r="AL98" s="324"/>
      <c r="AM98" s="324"/>
    </row>
    <row r="99" spans="1:39" x14ac:dyDescent="0.3">
      <c r="A99" s="324"/>
      <c r="B99" s="858"/>
      <c r="C99" s="858"/>
      <c r="D99" s="324"/>
      <c r="E99" s="324"/>
      <c r="F99" s="324"/>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4"/>
      <c r="AL99" s="324"/>
      <c r="AM99" s="324"/>
    </row>
    <row r="100" spans="1:39" x14ac:dyDescent="0.3">
      <c r="A100" s="324"/>
      <c r="B100" s="858"/>
      <c r="C100" s="858"/>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4"/>
      <c r="AL100" s="324"/>
      <c r="AM100" s="324"/>
    </row>
    <row r="101" spans="1:39" x14ac:dyDescent="0.3">
      <c r="A101" s="324"/>
      <c r="B101" s="459"/>
      <c r="C101" s="341"/>
      <c r="D101" s="459"/>
      <c r="E101" s="460"/>
      <c r="F101" s="461"/>
      <c r="G101" s="461"/>
      <c r="H101" s="459"/>
      <c r="I101" s="459"/>
      <c r="J101" s="325"/>
      <c r="K101" s="459"/>
      <c r="L101" s="462"/>
      <c r="M101" s="462"/>
      <c r="N101" s="459"/>
      <c r="O101" s="462"/>
      <c r="P101" s="459"/>
      <c r="Q101" s="462"/>
      <c r="R101" s="455"/>
      <c r="S101" s="455"/>
      <c r="T101" s="455"/>
      <c r="U101" s="455"/>
      <c r="V101" s="455"/>
      <c r="W101" s="455"/>
      <c r="X101" s="455"/>
      <c r="Y101" s="455"/>
      <c r="Z101" s="455"/>
      <c r="AA101" s="455"/>
      <c r="AB101" s="455"/>
      <c r="AC101" s="455"/>
      <c r="AD101" s="455"/>
      <c r="AE101" s="455"/>
      <c r="AF101" s="455"/>
      <c r="AG101" s="455"/>
      <c r="AH101" s="324"/>
      <c r="AI101" s="324"/>
      <c r="AJ101" s="324"/>
      <c r="AK101" s="324"/>
      <c r="AL101" s="324"/>
      <c r="AM101" s="324"/>
    </row>
    <row r="102" spans="1:39" s="302" customFormat="1" x14ac:dyDescent="0.3">
      <c r="A102" s="357"/>
      <c r="B102" s="463"/>
      <c r="C102" s="463"/>
      <c r="D102" s="463"/>
      <c r="E102" s="347"/>
      <c r="F102" s="347"/>
      <c r="G102" s="347"/>
      <c r="H102" s="463"/>
      <c r="I102" s="463"/>
      <c r="J102" s="463"/>
      <c r="K102" s="463"/>
      <c r="L102" s="463"/>
      <c r="M102" s="463"/>
      <c r="N102" s="357"/>
      <c r="O102" s="464"/>
      <c r="P102" s="463"/>
      <c r="Q102" s="463"/>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row>
    <row r="103" spans="1:39" x14ac:dyDescent="0.3">
      <c r="A103" s="324"/>
      <c r="B103" s="465"/>
      <c r="C103" s="463"/>
      <c r="D103" s="465"/>
      <c r="E103" s="351"/>
      <c r="F103" s="351"/>
      <c r="G103" s="351"/>
      <c r="H103" s="465"/>
      <c r="I103" s="465"/>
      <c r="J103" s="465"/>
      <c r="K103" s="465"/>
      <c r="L103" s="465"/>
      <c r="M103" s="465"/>
      <c r="N103" s="466"/>
      <c r="O103" s="467"/>
      <c r="P103" s="465"/>
      <c r="Q103" s="465"/>
      <c r="R103" s="324"/>
      <c r="S103" s="324"/>
      <c r="T103" s="324"/>
      <c r="U103" s="324"/>
      <c r="V103" s="324"/>
      <c r="W103" s="324"/>
      <c r="X103" s="324"/>
      <c r="Y103" s="324"/>
      <c r="Z103" s="324"/>
      <c r="AA103" s="324"/>
      <c r="AB103" s="324"/>
      <c r="AC103" s="324"/>
      <c r="AD103" s="324"/>
      <c r="AE103" s="324"/>
      <c r="AF103" s="324"/>
      <c r="AG103" s="324"/>
      <c r="AH103" s="324"/>
      <c r="AI103" s="324"/>
      <c r="AJ103" s="324"/>
      <c r="AK103" s="324"/>
      <c r="AL103" s="324"/>
      <c r="AM103" s="324"/>
    </row>
    <row r="104" spans="1:39" x14ac:dyDescent="0.3">
      <c r="A104" s="324"/>
      <c r="B104" s="465"/>
      <c r="C104" s="463"/>
      <c r="D104" s="465"/>
      <c r="E104" s="351"/>
      <c r="F104" s="351"/>
      <c r="G104" s="351"/>
      <c r="H104" s="465"/>
      <c r="I104" s="465"/>
      <c r="J104" s="465"/>
      <c r="K104" s="465"/>
      <c r="L104" s="465"/>
      <c r="M104" s="465"/>
      <c r="N104" s="466"/>
      <c r="O104" s="467"/>
      <c r="P104" s="465"/>
      <c r="Q104" s="465"/>
      <c r="R104" s="324"/>
      <c r="S104" s="324"/>
      <c r="T104" s="324"/>
      <c r="U104" s="324"/>
      <c r="V104" s="324"/>
      <c r="W104" s="324"/>
      <c r="X104" s="324"/>
      <c r="Y104" s="324"/>
      <c r="Z104" s="324"/>
      <c r="AA104" s="324"/>
      <c r="AB104" s="324"/>
      <c r="AC104" s="324"/>
      <c r="AD104" s="324"/>
      <c r="AE104" s="324"/>
      <c r="AF104" s="324"/>
      <c r="AG104" s="324"/>
      <c r="AH104" s="324"/>
      <c r="AI104" s="324"/>
      <c r="AJ104" s="324"/>
      <c r="AK104" s="324"/>
      <c r="AL104" s="324"/>
      <c r="AM104" s="324"/>
    </row>
    <row r="105" spans="1:39" x14ac:dyDescent="0.3">
      <c r="A105" s="324"/>
      <c r="B105" s="465"/>
      <c r="C105" s="463"/>
      <c r="D105" s="465"/>
      <c r="E105" s="351"/>
      <c r="F105" s="351"/>
      <c r="G105" s="351"/>
      <c r="H105" s="465"/>
      <c r="I105" s="465"/>
      <c r="J105" s="465"/>
      <c r="K105" s="465"/>
      <c r="L105" s="465"/>
      <c r="M105" s="465"/>
      <c r="N105" s="466"/>
      <c r="O105" s="467"/>
      <c r="P105" s="465"/>
      <c r="Q105" s="465"/>
      <c r="R105" s="324"/>
      <c r="S105" s="324"/>
      <c r="T105" s="324"/>
      <c r="U105" s="324"/>
      <c r="V105" s="324"/>
      <c r="W105" s="324"/>
      <c r="X105" s="324"/>
      <c r="Y105" s="324"/>
      <c r="Z105" s="324"/>
      <c r="AA105" s="324"/>
      <c r="AB105" s="324"/>
      <c r="AC105" s="324"/>
      <c r="AD105" s="324"/>
      <c r="AE105" s="324"/>
      <c r="AF105" s="324"/>
      <c r="AG105" s="324"/>
      <c r="AH105" s="324"/>
      <c r="AI105" s="324"/>
      <c r="AJ105" s="324"/>
      <c r="AK105" s="324"/>
      <c r="AL105" s="324"/>
      <c r="AM105" s="324"/>
    </row>
    <row r="106" spans="1:39" x14ac:dyDescent="0.3">
      <c r="A106" s="324"/>
      <c r="B106" s="465"/>
      <c r="C106" s="463"/>
      <c r="D106" s="465"/>
      <c r="E106" s="351"/>
      <c r="F106" s="351"/>
      <c r="G106" s="351"/>
      <c r="H106" s="465"/>
      <c r="I106" s="465"/>
      <c r="J106" s="465"/>
      <c r="K106" s="465"/>
      <c r="L106" s="465"/>
      <c r="M106" s="465"/>
      <c r="N106" s="466"/>
      <c r="O106" s="467"/>
      <c r="P106" s="465"/>
      <c r="Q106" s="465"/>
      <c r="R106" s="324"/>
      <c r="S106" s="324"/>
      <c r="T106" s="324"/>
      <c r="U106" s="324"/>
      <c r="V106" s="324"/>
      <c r="W106" s="324"/>
      <c r="X106" s="324"/>
      <c r="Y106" s="324"/>
      <c r="Z106" s="324"/>
      <c r="AA106" s="324"/>
      <c r="AB106" s="324"/>
      <c r="AC106" s="324"/>
      <c r="AD106" s="324"/>
      <c r="AE106" s="324"/>
      <c r="AF106" s="324"/>
      <c r="AG106" s="324"/>
      <c r="AH106" s="324"/>
      <c r="AI106" s="324"/>
      <c r="AJ106" s="324"/>
      <c r="AK106" s="324"/>
      <c r="AL106" s="324"/>
      <c r="AM106" s="324"/>
    </row>
    <row r="107" spans="1:39" x14ac:dyDescent="0.3">
      <c r="A107" s="324"/>
      <c r="B107" s="465"/>
      <c r="C107" s="463"/>
      <c r="D107" s="465"/>
      <c r="E107" s="351"/>
      <c r="F107" s="351"/>
      <c r="G107" s="351"/>
      <c r="H107" s="465"/>
      <c r="I107" s="465"/>
      <c r="J107" s="465"/>
      <c r="K107" s="465"/>
      <c r="L107" s="465"/>
      <c r="M107" s="465"/>
      <c r="N107" s="466"/>
      <c r="O107" s="467"/>
      <c r="P107" s="465"/>
      <c r="Q107" s="465"/>
      <c r="R107" s="324"/>
      <c r="S107" s="324"/>
      <c r="T107" s="324"/>
      <c r="U107" s="324"/>
      <c r="V107" s="324"/>
      <c r="W107" s="324"/>
      <c r="X107" s="324"/>
      <c r="Y107" s="324"/>
      <c r="Z107" s="324"/>
      <c r="AA107" s="324"/>
      <c r="AB107" s="324"/>
      <c r="AC107" s="324"/>
      <c r="AD107" s="324"/>
      <c r="AE107" s="324"/>
      <c r="AF107" s="324"/>
      <c r="AG107" s="324"/>
      <c r="AH107" s="324"/>
      <c r="AI107" s="324"/>
      <c r="AJ107" s="324"/>
      <c r="AK107" s="324"/>
      <c r="AL107" s="324"/>
      <c r="AM107" s="324"/>
    </row>
    <row r="108" spans="1:39" s="302" customFormat="1" x14ac:dyDescent="0.3">
      <c r="A108" s="468"/>
      <c r="B108" s="463"/>
      <c r="C108" s="463"/>
      <c r="D108" s="463"/>
      <c r="E108" s="347"/>
      <c r="F108" s="347"/>
      <c r="G108" s="347"/>
      <c r="H108" s="321"/>
      <c r="I108" s="463"/>
      <c r="J108" s="463"/>
      <c r="K108" s="463"/>
      <c r="L108" s="321"/>
      <c r="M108" s="463"/>
      <c r="N108" s="357"/>
      <c r="O108" s="469"/>
      <c r="P108" s="321"/>
      <c r="Q108" s="463"/>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row>
    <row r="109" spans="1:39" x14ac:dyDescent="0.3">
      <c r="A109" s="470"/>
      <c r="B109" s="465"/>
      <c r="C109" s="463"/>
      <c r="D109" s="465"/>
      <c r="E109" s="351"/>
      <c r="F109" s="351"/>
      <c r="G109" s="351"/>
      <c r="H109" s="312"/>
      <c r="I109" s="465"/>
      <c r="J109" s="465"/>
      <c r="K109" s="465"/>
      <c r="L109" s="312"/>
      <c r="M109" s="465"/>
      <c r="N109" s="466"/>
      <c r="O109" s="471"/>
      <c r="P109" s="312"/>
      <c r="Q109" s="465"/>
      <c r="R109" s="324"/>
      <c r="S109" s="324"/>
      <c r="T109" s="324"/>
      <c r="U109" s="324"/>
      <c r="V109" s="324"/>
      <c r="W109" s="324"/>
      <c r="X109" s="324"/>
      <c r="Y109" s="324"/>
      <c r="Z109" s="324"/>
      <c r="AA109" s="324"/>
      <c r="AB109" s="324"/>
      <c r="AC109" s="324"/>
      <c r="AD109" s="324"/>
      <c r="AE109" s="324"/>
      <c r="AF109" s="324"/>
      <c r="AG109" s="324"/>
      <c r="AH109" s="324"/>
      <c r="AI109" s="324"/>
      <c r="AJ109" s="324"/>
      <c r="AK109" s="324"/>
      <c r="AL109" s="324"/>
      <c r="AM109" s="324"/>
    </row>
    <row r="110" spans="1:39" x14ac:dyDescent="0.3">
      <c r="A110" s="470"/>
      <c r="B110" s="465"/>
      <c r="C110" s="463"/>
      <c r="D110" s="465"/>
      <c r="E110" s="351"/>
      <c r="F110" s="351"/>
      <c r="G110" s="351"/>
      <c r="H110" s="312"/>
      <c r="I110" s="465"/>
      <c r="J110" s="465"/>
      <c r="K110" s="465"/>
      <c r="L110" s="312"/>
      <c r="M110" s="465"/>
      <c r="N110" s="466"/>
      <c r="O110" s="471"/>
      <c r="P110" s="312"/>
      <c r="Q110" s="465"/>
      <c r="R110" s="324"/>
      <c r="S110" s="324"/>
      <c r="T110" s="324"/>
      <c r="U110" s="324"/>
      <c r="V110" s="324"/>
      <c r="W110" s="324"/>
      <c r="X110" s="324"/>
      <c r="Y110" s="324"/>
      <c r="Z110" s="324"/>
      <c r="AA110" s="324"/>
      <c r="AB110" s="324"/>
      <c r="AC110" s="324"/>
      <c r="AD110" s="324"/>
      <c r="AE110" s="324"/>
      <c r="AF110" s="324"/>
      <c r="AG110" s="324"/>
      <c r="AH110" s="324"/>
      <c r="AI110" s="324"/>
      <c r="AJ110" s="324"/>
      <c r="AK110" s="324"/>
      <c r="AL110" s="324"/>
      <c r="AM110" s="324"/>
    </row>
    <row r="111" spans="1:39" x14ac:dyDescent="0.3">
      <c r="A111" s="470"/>
      <c r="B111" s="465"/>
      <c r="C111" s="463"/>
      <c r="D111" s="465"/>
      <c r="E111" s="351"/>
      <c r="F111" s="351"/>
      <c r="G111" s="351"/>
      <c r="H111" s="312"/>
      <c r="I111" s="465"/>
      <c r="J111" s="465"/>
      <c r="K111" s="465"/>
      <c r="L111" s="312"/>
      <c r="M111" s="465"/>
      <c r="N111" s="466"/>
      <c r="O111" s="471"/>
      <c r="P111" s="312"/>
      <c r="Q111" s="465"/>
      <c r="R111" s="324"/>
      <c r="S111" s="324"/>
      <c r="T111" s="324"/>
      <c r="U111" s="324"/>
      <c r="V111" s="324"/>
      <c r="W111" s="324"/>
      <c r="X111" s="324"/>
      <c r="Y111" s="324"/>
      <c r="Z111" s="324"/>
      <c r="AA111" s="324"/>
      <c r="AB111" s="324"/>
      <c r="AC111" s="324"/>
      <c r="AD111" s="324"/>
      <c r="AE111" s="324"/>
      <c r="AF111" s="324"/>
      <c r="AG111" s="324"/>
      <c r="AH111" s="324"/>
      <c r="AI111" s="324"/>
      <c r="AJ111" s="324"/>
      <c r="AK111" s="324"/>
      <c r="AL111" s="324"/>
      <c r="AM111" s="324"/>
    </row>
    <row r="112" spans="1:39" x14ac:dyDescent="0.3">
      <c r="A112" s="470"/>
      <c r="B112" s="465"/>
      <c r="C112" s="463"/>
      <c r="D112" s="465"/>
      <c r="E112" s="351"/>
      <c r="F112" s="351"/>
      <c r="G112" s="351"/>
      <c r="H112" s="312"/>
      <c r="I112" s="465"/>
      <c r="J112" s="465"/>
      <c r="K112" s="465"/>
      <c r="L112" s="312"/>
      <c r="M112" s="465"/>
      <c r="N112" s="466"/>
      <c r="O112" s="471"/>
      <c r="P112" s="312"/>
      <c r="Q112" s="465"/>
      <c r="R112" s="324"/>
      <c r="S112" s="324"/>
      <c r="T112" s="324"/>
      <c r="U112" s="324"/>
      <c r="V112" s="324"/>
      <c r="W112" s="324"/>
      <c r="X112" s="324"/>
      <c r="Y112" s="324"/>
      <c r="Z112" s="324"/>
      <c r="AA112" s="324"/>
      <c r="AB112" s="324"/>
      <c r="AC112" s="324"/>
      <c r="AD112" s="324"/>
      <c r="AE112" s="324"/>
      <c r="AF112" s="324"/>
      <c r="AG112" s="324"/>
      <c r="AH112" s="324"/>
      <c r="AI112" s="324"/>
      <c r="AJ112" s="324"/>
      <c r="AK112" s="324"/>
      <c r="AL112" s="324"/>
      <c r="AM112" s="324"/>
    </row>
    <row r="113" spans="1:39" x14ac:dyDescent="0.3">
      <c r="A113" s="470"/>
      <c r="B113" s="465"/>
      <c r="C113" s="463"/>
      <c r="D113" s="465"/>
      <c r="E113" s="351"/>
      <c r="F113" s="351"/>
      <c r="G113" s="351"/>
      <c r="H113" s="312"/>
      <c r="I113" s="465"/>
      <c r="J113" s="465"/>
      <c r="K113" s="465"/>
      <c r="L113" s="312"/>
      <c r="M113" s="465"/>
      <c r="N113" s="466"/>
      <c r="O113" s="471"/>
      <c r="P113" s="312"/>
      <c r="Q113" s="465"/>
      <c r="R113" s="324"/>
      <c r="S113" s="324"/>
      <c r="T113" s="324"/>
      <c r="U113" s="324"/>
      <c r="V113" s="324"/>
      <c r="W113" s="324"/>
      <c r="X113" s="324"/>
      <c r="Y113" s="324"/>
      <c r="Z113" s="324"/>
      <c r="AA113" s="324"/>
      <c r="AB113" s="324"/>
      <c r="AC113" s="324"/>
      <c r="AD113" s="324"/>
      <c r="AE113" s="324"/>
      <c r="AF113" s="324"/>
      <c r="AG113" s="324"/>
      <c r="AH113" s="324"/>
      <c r="AI113" s="324"/>
      <c r="AJ113" s="324"/>
      <c r="AK113" s="324"/>
      <c r="AL113" s="324"/>
      <c r="AM113" s="324"/>
    </row>
    <row r="114" spans="1:39" s="302" customFormat="1" x14ac:dyDescent="0.3">
      <c r="A114" s="468"/>
      <c r="B114" s="463"/>
      <c r="C114" s="463"/>
      <c r="D114" s="463"/>
      <c r="E114" s="347"/>
      <c r="F114" s="347"/>
      <c r="G114" s="347"/>
      <c r="H114" s="321"/>
      <c r="I114" s="321"/>
      <c r="J114" s="321"/>
      <c r="K114" s="321"/>
      <c r="L114" s="321"/>
      <c r="M114" s="463"/>
      <c r="N114" s="357"/>
      <c r="O114" s="469"/>
      <c r="P114" s="321"/>
      <c r="Q114" s="463"/>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row>
    <row r="115" spans="1:39" x14ac:dyDescent="0.3">
      <c r="A115" s="470"/>
      <c r="B115" s="465"/>
      <c r="C115" s="463"/>
      <c r="D115" s="312"/>
      <c r="E115" s="351"/>
      <c r="F115" s="351"/>
      <c r="G115" s="351"/>
      <c r="H115" s="312"/>
      <c r="I115" s="312"/>
      <c r="J115" s="312"/>
      <c r="K115" s="312"/>
      <c r="L115" s="312"/>
      <c r="M115" s="465"/>
      <c r="N115" s="466"/>
      <c r="O115" s="471"/>
      <c r="P115" s="312"/>
      <c r="Q115" s="465"/>
      <c r="R115" s="324"/>
      <c r="S115" s="324"/>
      <c r="T115" s="324"/>
      <c r="U115" s="324"/>
      <c r="V115" s="324"/>
      <c r="W115" s="324"/>
      <c r="X115" s="324"/>
      <c r="Y115" s="324"/>
      <c r="Z115" s="324"/>
      <c r="AA115" s="324"/>
      <c r="AB115" s="324"/>
      <c r="AC115" s="324"/>
      <c r="AD115" s="324"/>
      <c r="AE115" s="324"/>
      <c r="AF115" s="324"/>
      <c r="AG115" s="324"/>
      <c r="AH115" s="324"/>
      <c r="AI115" s="324"/>
      <c r="AJ115" s="324"/>
      <c r="AK115" s="324"/>
      <c r="AL115" s="324"/>
      <c r="AM115" s="324"/>
    </row>
    <row r="116" spans="1:39" x14ac:dyDescent="0.3">
      <c r="A116" s="470"/>
      <c r="B116" s="465"/>
      <c r="C116" s="463"/>
      <c r="D116" s="312"/>
      <c r="E116" s="351"/>
      <c r="F116" s="351"/>
      <c r="G116" s="351"/>
      <c r="H116" s="312"/>
      <c r="I116" s="312"/>
      <c r="J116" s="312"/>
      <c r="K116" s="312"/>
      <c r="L116" s="312"/>
      <c r="M116" s="465"/>
      <c r="N116" s="466"/>
      <c r="O116" s="471"/>
      <c r="P116" s="312"/>
      <c r="Q116" s="465"/>
      <c r="R116" s="324"/>
      <c r="S116" s="324"/>
      <c r="T116" s="324"/>
      <c r="U116" s="324"/>
      <c r="V116" s="324"/>
      <c r="W116" s="324"/>
      <c r="X116" s="324"/>
      <c r="Y116" s="324"/>
      <c r="Z116" s="324"/>
      <c r="AA116" s="324"/>
      <c r="AB116" s="324"/>
      <c r="AC116" s="324"/>
      <c r="AD116" s="324"/>
      <c r="AE116" s="324"/>
      <c r="AF116" s="324"/>
      <c r="AG116" s="324"/>
      <c r="AH116" s="324"/>
      <c r="AI116" s="324"/>
      <c r="AJ116" s="324"/>
      <c r="AK116" s="324"/>
      <c r="AL116" s="324"/>
      <c r="AM116" s="324"/>
    </row>
    <row r="117" spans="1:39" x14ac:dyDescent="0.3">
      <c r="A117" s="470"/>
      <c r="B117" s="465"/>
      <c r="C117" s="463"/>
      <c r="D117" s="312"/>
      <c r="E117" s="351"/>
      <c r="F117" s="351"/>
      <c r="G117" s="351"/>
      <c r="H117" s="312"/>
      <c r="I117" s="312"/>
      <c r="J117" s="312"/>
      <c r="K117" s="312"/>
      <c r="L117" s="312"/>
      <c r="M117" s="465"/>
      <c r="N117" s="466"/>
      <c r="O117" s="471"/>
      <c r="P117" s="312"/>
      <c r="Q117" s="465"/>
      <c r="R117" s="324"/>
      <c r="S117" s="324"/>
      <c r="T117" s="324"/>
      <c r="U117" s="324"/>
      <c r="V117" s="324"/>
      <c r="W117" s="324"/>
      <c r="X117" s="324"/>
      <c r="Y117" s="324"/>
      <c r="Z117" s="324"/>
      <c r="AA117" s="324"/>
      <c r="AB117" s="324"/>
      <c r="AC117" s="324"/>
      <c r="AD117" s="324"/>
      <c r="AE117" s="324"/>
      <c r="AF117" s="324"/>
      <c r="AG117" s="324"/>
      <c r="AH117" s="324"/>
      <c r="AI117" s="324"/>
      <c r="AJ117" s="324"/>
      <c r="AK117" s="324"/>
      <c r="AL117" s="324"/>
      <c r="AM117" s="324"/>
    </row>
    <row r="118" spans="1:39" x14ac:dyDescent="0.3">
      <c r="A118" s="470"/>
      <c r="B118" s="465"/>
      <c r="C118" s="463"/>
      <c r="D118" s="312"/>
      <c r="E118" s="351"/>
      <c r="F118" s="351"/>
      <c r="G118" s="351"/>
      <c r="H118" s="312"/>
      <c r="I118" s="312"/>
      <c r="J118" s="312"/>
      <c r="K118" s="312"/>
      <c r="L118" s="312"/>
      <c r="M118" s="465"/>
      <c r="N118" s="466"/>
      <c r="O118" s="471"/>
      <c r="P118" s="312"/>
      <c r="Q118" s="465"/>
      <c r="R118" s="324"/>
      <c r="S118" s="324"/>
      <c r="T118" s="324"/>
      <c r="U118" s="324"/>
      <c r="V118" s="324"/>
      <c r="W118" s="324"/>
      <c r="X118" s="324"/>
      <c r="Y118" s="324"/>
      <c r="Z118" s="324"/>
      <c r="AA118" s="324"/>
      <c r="AB118" s="324"/>
      <c r="AC118" s="324"/>
      <c r="AD118" s="324"/>
      <c r="AE118" s="324"/>
      <c r="AF118" s="324"/>
      <c r="AG118" s="324"/>
      <c r="AH118" s="324"/>
      <c r="AI118" s="324"/>
      <c r="AJ118" s="324"/>
      <c r="AK118" s="324"/>
      <c r="AL118" s="324"/>
      <c r="AM118" s="324"/>
    </row>
    <row r="119" spans="1:39" x14ac:dyDescent="0.3">
      <c r="A119" s="470"/>
      <c r="B119" s="465"/>
      <c r="C119" s="463"/>
      <c r="D119" s="312"/>
      <c r="E119" s="351"/>
      <c r="F119" s="351"/>
      <c r="G119" s="351"/>
      <c r="H119" s="312"/>
      <c r="I119" s="312"/>
      <c r="J119" s="312"/>
      <c r="K119" s="312"/>
      <c r="L119" s="312"/>
      <c r="M119" s="465"/>
      <c r="N119" s="466"/>
      <c r="O119" s="471"/>
      <c r="P119" s="312"/>
      <c r="Q119" s="465"/>
      <c r="R119" s="324"/>
      <c r="S119" s="324"/>
      <c r="T119" s="324"/>
      <c r="U119" s="324"/>
      <c r="V119" s="324"/>
      <c r="W119" s="324"/>
      <c r="X119" s="324"/>
      <c r="Y119" s="324"/>
      <c r="Z119" s="324"/>
      <c r="AA119" s="324"/>
      <c r="AB119" s="324"/>
      <c r="AC119" s="324"/>
      <c r="AD119" s="324"/>
      <c r="AE119" s="324"/>
      <c r="AF119" s="324"/>
      <c r="AG119" s="324"/>
      <c r="AH119" s="324"/>
      <c r="AI119" s="324"/>
      <c r="AJ119" s="324"/>
      <c r="AK119" s="324"/>
      <c r="AL119" s="324"/>
      <c r="AM119" s="324"/>
    </row>
    <row r="120" spans="1:39" s="302" customFormat="1" x14ac:dyDescent="0.3">
      <c r="A120" s="357"/>
      <c r="B120" s="463"/>
      <c r="C120" s="463"/>
      <c r="D120" s="463"/>
      <c r="E120" s="347"/>
      <c r="F120" s="347"/>
      <c r="G120" s="347"/>
      <c r="H120" s="463"/>
      <c r="I120" s="463"/>
      <c r="J120" s="463"/>
      <c r="K120" s="463"/>
      <c r="L120" s="463"/>
      <c r="M120" s="463"/>
      <c r="N120" s="357"/>
      <c r="O120" s="464"/>
      <c r="P120" s="463"/>
      <c r="Q120" s="463"/>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row>
    <row r="121" spans="1:39" x14ac:dyDescent="0.3">
      <c r="A121" s="324"/>
      <c r="B121" s="465"/>
      <c r="C121" s="463"/>
      <c r="D121" s="465"/>
      <c r="E121" s="351"/>
      <c r="F121" s="351"/>
      <c r="G121" s="351"/>
      <c r="H121" s="465"/>
      <c r="I121" s="465"/>
      <c r="J121" s="465"/>
      <c r="K121" s="465"/>
      <c r="L121" s="465"/>
      <c r="M121" s="465"/>
      <c r="N121" s="466"/>
      <c r="O121" s="467"/>
      <c r="P121" s="465"/>
      <c r="Q121" s="465"/>
      <c r="R121" s="324"/>
      <c r="S121" s="324"/>
      <c r="T121" s="324"/>
      <c r="U121" s="324"/>
      <c r="V121" s="324"/>
      <c r="W121" s="324"/>
      <c r="X121" s="324"/>
      <c r="Y121" s="324"/>
      <c r="Z121" s="324"/>
      <c r="AA121" s="324"/>
      <c r="AB121" s="324"/>
      <c r="AC121" s="324"/>
      <c r="AD121" s="324"/>
      <c r="AE121" s="324"/>
      <c r="AF121" s="324"/>
      <c r="AG121" s="324"/>
      <c r="AH121" s="324"/>
      <c r="AI121" s="324"/>
      <c r="AJ121" s="324"/>
      <c r="AK121" s="324"/>
      <c r="AL121" s="324"/>
      <c r="AM121" s="324"/>
    </row>
    <row r="122" spans="1:39" x14ac:dyDescent="0.3">
      <c r="A122" s="324"/>
      <c r="B122" s="465"/>
      <c r="C122" s="463"/>
      <c r="D122" s="465"/>
      <c r="E122" s="351"/>
      <c r="F122" s="351"/>
      <c r="G122" s="351"/>
      <c r="H122" s="465"/>
      <c r="I122" s="465"/>
      <c r="J122" s="465"/>
      <c r="K122" s="465"/>
      <c r="L122" s="465"/>
      <c r="M122" s="465"/>
      <c r="N122" s="466"/>
      <c r="O122" s="467"/>
      <c r="P122" s="465"/>
      <c r="Q122" s="465"/>
      <c r="R122" s="324"/>
      <c r="S122" s="324"/>
      <c r="T122" s="324"/>
      <c r="U122" s="324"/>
      <c r="V122" s="324"/>
      <c r="W122" s="324"/>
      <c r="X122" s="324"/>
      <c r="Y122" s="324"/>
      <c r="Z122" s="324"/>
      <c r="AA122" s="324"/>
      <c r="AB122" s="324"/>
      <c r="AC122" s="324"/>
      <c r="AD122" s="324"/>
      <c r="AE122" s="324"/>
      <c r="AF122" s="324"/>
      <c r="AG122" s="324"/>
      <c r="AH122" s="324"/>
      <c r="AI122" s="324"/>
      <c r="AJ122" s="324"/>
      <c r="AK122" s="324"/>
      <c r="AL122" s="324"/>
      <c r="AM122" s="324"/>
    </row>
    <row r="123" spans="1:39" x14ac:dyDescent="0.3">
      <c r="A123" s="324"/>
      <c r="B123" s="465"/>
      <c r="C123" s="463"/>
      <c r="D123" s="465"/>
      <c r="E123" s="351"/>
      <c r="F123" s="351"/>
      <c r="G123" s="351"/>
      <c r="H123" s="465"/>
      <c r="I123" s="465"/>
      <c r="J123" s="465"/>
      <c r="K123" s="465"/>
      <c r="L123" s="465"/>
      <c r="M123" s="465"/>
      <c r="N123" s="466"/>
      <c r="O123" s="467"/>
      <c r="P123" s="465"/>
      <c r="Q123" s="465"/>
      <c r="R123" s="324"/>
      <c r="S123" s="324"/>
      <c r="T123" s="324"/>
      <c r="U123" s="324"/>
      <c r="V123" s="324"/>
      <c r="W123" s="324"/>
      <c r="X123" s="324"/>
      <c r="Y123" s="324"/>
      <c r="Z123" s="324"/>
      <c r="AA123" s="324"/>
      <c r="AB123" s="324"/>
      <c r="AC123" s="324"/>
      <c r="AD123" s="324"/>
      <c r="AE123" s="324"/>
      <c r="AF123" s="324"/>
      <c r="AG123" s="324"/>
      <c r="AH123" s="324"/>
      <c r="AI123" s="324"/>
      <c r="AJ123" s="324"/>
      <c r="AK123" s="324"/>
      <c r="AL123" s="324"/>
      <c r="AM123" s="324"/>
    </row>
    <row r="124" spans="1:39" x14ac:dyDescent="0.3">
      <c r="A124" s="324"/>
      <c r="B124" s="465"/>
      <c r="C124" s="463"/>
      <c r="D124" s="465"/>
      <c r="E124" s="351"/>
      <c r="F124" s="351"/>
      <c r="G124" s="351"/>
      <c r="H124" s="465"/>
      <c r="I124" s="465"/>
      <c r="J124" s="465"/>
      <c r="K124" s="465"/>
      <c r="L124" s="465"/>
      <c r="M124" s="465"/>
      <c r="N124" s="466"/>
      <c r="O124" s="467"/>
      <c r="P124" s="465"/>
      <c r="Q124" s="465"/>
      <c r="R124" s="324"/>
      <c r="S124" s="324"/>
      <c r="T124" s="324"/>
      <c r="U124" s="324"/>
      <c r="V124" s="324"/>
      <c r="W124" s="324"/>
      <c r="X124" s="324"/>
      <c r="Y124" s="324"/>
      <c r="Z124" s="324"/>
      <c r="AA124" s="324"/>
      <c r="AB124" s="324"/>
      <c r="AC124" s="324"/>
      <c r="AD124" s="324"/>
      <c r="AE124" s="324"/>
      <c r="AF124" s="324"/>
      <c r="AG124" s="324"/>
      <c r="AH124" s="324"/>
      <c r="AI124" s="324"/>
      <c r="AJ124" s="324"/>
      <c r="AK124" s="324"/>
      <c r="AL124" s="324"/>
      <c r="AM124" s="324"/>
    </row>
    <row r="125" spans="1:39" x14ac:dyDescent="0.3">
      <c r="A125" s="324"/>
      <c r="B125" s="465"/>
      <c r="C125" s="463"/>
      <c r="D125" s="465"/>
      <c r="E125" s="351"/>
      <c r="F125" s="351"/>
      <c r="G125" s="351"/>
      <c r="H125" s="465"/>
      <c r="I125" s="465"/>
      <c r="J125" s="465"/>
      <c r="K125" s="465"/>
      <c r="L125" s="465"/>
      <c r="M125" s="465"/>
      <c r="N125" s="466"/>
      <c r="O125" s="467"/>
      <c r="P125" s="465"/>
      <c r="Q125" s="465"/>
      <c r="R125" s="324"/>
      <c r="S125" s="324"/>
      <c r="T125" s="324"/>
      <c r="U125" s="324"/>
      <c r="V125" s="324"/>
      <c r="W125" s="324"/>
      <c r="X125" s="324"/>
      <c r="Y125" s="324"/>
      <c r="Z125" s="324"/>
      <c r="AA125" s="324"/>
      <c r="AB125" s="324"/>
      <c r="AC125" s="324"/>
      <c r="AD125" s="324"/>
      <c r="AE125" s="324"/>
      <c r="AF125" s="324"/>
      <c r="AG125" s="324"/>
      <c r="AH125" s="324"/>
      <c r="AI125" s="324"/>
      <c r="AJ125" s="324"/>
      <c r="AK125" s="324"/>
      <c r="AL125" s="324"/>
      <c r="AM125" s="324"/>
    </row>
    <row r="126" spans="1:39" s="302" customFormat="1" x14ac:dyDescent="0.3">
      <c r="A126" s="357"/>
      <c r="B126" s="463"/>
      <c r="C126" s="463"/>
      <c r="D126" s="463"/>
      <c r="E126" s="347"/>
      <c r="F126" s="347"/>
      <c r="G126" s="347"/>
      <c r="H126" s="393"/>
      <c r="I126" s="463"/>
      <c r="J126" s="463"/>
      <c r="K126" s="463"/>
      <c r="L126" s="463"/>
      <c r="M126" s="463"/>
      <c r="N126" s="357"/>
      <c r="O126" s="464"/>
      <c r="P126" s="463"/>
      <c r="Q126" s="463"/>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row>
    <row r="127" spans="1:39" x14ac:dyDescent="0.3">
      <c r="A127" s="324"/>
      <c r="B127" s="465"/>
      <c r="C127" s="463"/>
      <c r="D127" s="465"/>
      <c r="E127" s="351"/>
      <c r="F127" s="351"/>
      <c r="G127" s="351"/>
      <c r="H127" s="465"/>
      <c r="I127" s="465"/>
      <c r="J127" s="465"/>
      <c r="K127" s="465"/>
      <c r="L127" s="465"/>
      <c r="M127" s="465"/>
      <c r="N127" s="466"/>
      <c r="O127" s="467"/>
      <c r="P127" s="465"/>
      <c r="Q127" s="465"/>
      <c r="R127" s="324"/>
      <c r="S127" s="324"/>
      <c r="T127" s="324"/>
      <c r="U127" s="324"/>
      <c r="V127" s="324"/>
      <c r="W127" s="324"/>
      <c r="X127" s="324"/>
      <c r="Y127" s="324"/>
      <c r="Z127" s="324"/>
      <c r="AA127" s="324"/>
      <c r="AB127" s="324"/>
      <c r="AC127" s="324"/>
      <c r="AD127" s="324"/>
      <c r="AE127" s="324"/>
      <c r="AF127" s="324"/>
      <c r="AG127" s="324"/>
      <c r="AH127" s="324"/>
      <c r="AI127" s="324"/>
      <c r="AJ127" s="324"/>
      <c r="AK127" s="324"/>
      <c r="AL127" s="324"/>
      <c r="AM127" s="324"/>
    </row>
    <row r="128" spans="1:39" x14ac:dyDescent="0.3">
      <c r="A128" s="324"/>
      <c r="B128" s="465"/>
      <c r="C128" s="463"/>
      <c r="D128" s="465"/>
      <c r="E128" s="351"/>
      <c r="F128" s="351"/>
      <c r="G128" s="351"/>
      <c r="H128" s="465"/>
      <c r="I128" s="465"/>
      <c r="J128" s="465"/>
      <c r="K128" s="465"/>
      <c r="L128" s="465"/>
      <c r="M128" s="465"/>
      <c r="N128" s="466"/>
      <c r="O128" s="467"/>
      <c r="P128" s="465"/>
      <c r="Q128" s="465"/>
      <c r="R128" s="324"/>
      <c r="S128" s="324"/>
      <c r="T128" s="324"/>
      <c r="U128" s="324"/>
      <c r="V128" s="324"/>
      <c r="W128" s="324"/>
      <c r="X128" s="324"/>
      <c r="Y128" s="324"/>
      <c r="Z128" s="324"/>
      <c r="AA128" s="324"/>
      <c r="AB128" s="324"/>
      <c r="AC128" s="324"/>
      <c r="AD128" s="324"/>
      <c r="AE128" s="324"/>
      <c r="AF128" s="324"/>
      <c r="AG128" s="324"/>
      <c r="AH128" s="324"/>
      <c r="AI128" s="324"/>
      <c r="AJ128" s="324"/>
      <c r="AK128" s="324"/>
      <c r="AL128" s="324"/>
      <c r="AM128" s="324"/>
    </row>
    <row r="129" spans="1:42" x14ac:dyDescent="0.3">
      <c r="A129" s="324"/>
      <c r="B129" s="465"/>
      <c r="C129" s="463"/>
      <c r="D129" s="465"/>
      <c r="E129" s="351"/>
      <c r="F129" s="351"/>
      <c r="G129" s="351"/>
      <c r="H129" s="465"/>
      <c r="I129" s="465"/>
      <c r="J129" s="465"/>
      <c r="K129" s="465"/>
      <c r="L129" s="465"/>
      <c r="M129" s="465"/>
      <c r="N129" s="466"/>
      <c r="O129" s="467"/>
      <c r="P129" s="465"/>
      <c r="Q129" s="465"/>
      <c r="R129" s="324"/>
      <c r="S129" s="324"/>
      <c r="T129" s="324"/>
      <c r="U129" s="324"/>
      <c r="V129" s="324"/>
      <c r="W129" s="324"/>
      <c r="X129" s="324"/>
      <c r="Y129" s="324"/>
      <c r="Z129" s="324"/>
      <c r="AA129" s="324"/>
      <c r="AB129" s="324"/>
      <c r="AC129" s="324"/>
      <c r="AD129" s="324"/>
      <c r="AE129" s="324"/>
      <c r="AF129" s="324"/>
      <c r="AG129" s="324"/>
      <c r="AH129" s="324"/>
      <c r="AI129" s="324"/>
      <c r="AJ129" s="324"/>
      <c r="AK129" s="324"/>
      <c r="AL129" s="324"/>
      <c r="AM129" s="324"/>
    </row>
    <row r="130" spans="1:42" x14ac:dyDescent="0.3">
      <c r="A130" s="324"/>
      <c r="B130" s="465"/>
      <c r="C130" s="463"/>
      <c r="D130" s="465"/>
      <c r="E130" s="351"/>
      <c r="F130" s="351"/>
      <c r="G130" s="351"/>
      <c r="H130" s="465"/>
      <c r="I130" s="465"/>
      <c r="J130" s="465"/>
      <c r="K130" s="465"/>
      <c r="L130" s="465"/>
      <c r="M130" s="465"/>
      <c r="N130" s="466"/>
      <c r="O130" s="467"/>
      <c r="P130" s="465"/>
      <c r="Q130" s="465"/>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324"/>
      <c r="AM130" s="324"/>
    </row>
    <row r="131" spans="1:42" x14ac:dyDescent="0.3">
      <c r="A131" s="324"/>
      <c r="B131" s="465"/>
      <c r="C131" s="463"/>
      <c r="D131" s="465"/>
      <c r="E131" s="351"/>
      <c r="F131" s="351"/>
      <c r="G131" s="351"/>
      <c r="H131" s="465"/>
      <c r="I131" s="465"/>
      <c r="J131" s="465"/>
      <c r="K131" s="465"/>
      <c r="L131" s="465"/>
      <c r="M131" s="465"/>
      <c r="N131" s="466"/>
      <c r="O131" s="467"/>
      <c r="P131" s="465"/>
      <c r="Q131" s="465"/>
      <c r="R131" s="324"/>
      <c r="S131" s="324"/>
      <c r="T131" s="324"/>
      <c r="U131" s="324"/>
      <c r="V131" s="324"/>
      <c r="W131" s="324"/>
      <c r="X131" s="324"/>
      <c r="Y131" s="324"/>
      <c r="Z131" s="324"/>
      <c r="AA131" s="324"/>
      <c r="AB131" s="324"/>
      <c r="AC131" s="324"/>
      <c r="AD131" s="324"/>
      <c r="AE131" s="324"/>
      <c r="AF131" s="324"/>
      <c r="AG131" s="324"/>
      <c r="AH131" s="324"/>
      <c r="AI131" s="324"/>
      <c r="AJ131" s="324"/>
      <c r="AK131" s="324"/>
      <c r="AL131" s="324"/>
      <c r="AM131" s="324"/>
    </row>
    <row r="132" spans="1:42" x14ac:dyDescent="0.3">
      <c r="A132" s="324"/>
      <c r="B132" s="324"/>
      <c r="C132" s="324"/>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4"/>
      <c r="AL132" s="324"/>
      <c r="AM132" s="324"/>
      <c r="AN132" s="407"/>
      <c r="AO132" s="407"/>
      <c r="AP132" s="407"/>
    </row>
    <row r="133" spans="1:42" x14ac:dyDescent="0.3">
      <c r="A133" s="324"/>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4"/>
      <c r="AL133" s="324"/>
      <c r="AM133" s="324"/>
      <c r="AN133" s="407"/>
      <c r="AO133" s="407"/>
      <c r="AP133" s="407"/>
    </row>
    <row r="134" spans="1:42" x14ac:dyDescent="0.3">
      <c r="A134" s="324"/>
      <c r="B134" s="357"/>
      <c r="C134" s="324"/>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4"/>
      <c r="AL134" s="324"/>
      <c r="AM134" s="324"/>
      <c r="AN134" s="407"/>
      <c r="AO134" s="407"/>
      <c r="AP134" s="407"/>
    </row>
    <row r="135" spans="1:42" x14ac:dyDescent="0.3">
      <c r="A135" s="324"/>
      <c r="B135" s="447"/>
      <c r="C135" s="447"/>
      <c r="D135" s="447"/>
      <c r="E135" s="447"/>
      <c r="F135" s="447"/>
      <c r="G135" s="447"/>
      <c r="H135" s="447"/>
      <c r="I135" s="447"/>
      <c r="J135" s="447"/>
      <c r="K135" s="447"/>
      <c r="L135" s="447"/>
      <c r="M135" s="447"/>
      <c r="N135" s="447"/>
      <c r="O135" s="447"/>
      <c r="P135" s="447"/>
      <c r="Q135" s="447"/>
      <c r="R135" s="447"/>
      <c r="S135" s="447"/>
      <c r="T135" s="447"/>
      <c r="U135" s="447"/>
      <c r="V135" s="447"/>
      <c r="W135" s="447"/>
      <c r="X135" s="447"/>
      <c r="Y135" s="447"/>
      <c r="Z135" s="447"/>
      <c r="AA135" s="447"/>
      <c r="AB135" s="447"/>
      <c r="AC135" s="447"/>
      <c r="AD135" s="447"/>
      <c r="AE135" s="447"/>
      <c r="AF135" s="447"/>
      <c r="AG135" s="447"/>
      <c r="AH135" s="447"/>
      <c r="AI135" s="447"/>
      <c r="AJ135" s="447"/>
      <c r="AK135" s="447"/>
      <c r="AL135" s="447"/>
      <c r="AM135" s="447"/>
      <c r="AN135" s="447"/>
      <c r="AO135" s="447"/>
      <c r="AP135" s="447"/>
    </row>
    <row r="136" spans="1:42" x14ac:dyDescent="0.3">
      <c r="A136" s="324"/>
      <c r="B136" s="465"/>
      <c r="C136" s="324"/>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4"/>
      <c r="AL136" s="324"/>
      <c r="AM136" s="324"/>
      <c r="AN136" s="407"/>
      <c r="AO136" s="407"/>
      <c r="AP136" s="407"/>
    </row>
    <row r="137" spans="1:42" x14ac:dyDescent="0.3">
      <c r="A137" s="324"/>
      <c r="B137" s="465"/>
      <c r="C137" s="324"/>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4"/>
      <c r="AL137" s="324"/>
      <c r="AM137" s="324"/>
      <c r="AN137" s="407"/>
      <c r="AO137" s="407"/>
      <c r="AP137" s="407"/>
    </row>
    <row r="138" spans="1:42" x14ac:dyDescent="0.3">
      <c r="A138" s="324"/>
      <c r="B138" s="465"/>
      <c r="C138" s="324"/>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4"/>
      <c r="AL138" s="324"/>
      <c r="AM138" s="324"/>
      <c r="AN138" s="407"/>
      <c r="AO138" s="407"/>
      <c r="AP138" s="407"/>
    </row>
    <row r="139" spans="1:42" x14ac:dyDescent="0.3">
      <c r="A139" s="324"/>
      <c r="B139" s="465"/>
      <c r="C139" s="324"/>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4"/>
      <c r="AL139" s="324"/>
      <c r="AM139" s="324"/>
      <c r="AN139" s="407"/>
      <c r="AO139" s="407"/>
      <c r="AP139" s="407"/>
    </row>
    <row r="140" spans="1:42" x14ac:dyDescent="0.3">
      <c r="A140" s="324"/>
      <c r="B140" s="465"/>
      <c r="C140" s="324"/>
      <c r="D140" s="324"/>
      <c r="E140" s="324"/>
      <c r="F140" s="324"/>
      <c r="G140" s="465"/>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4"/>
      <c r="AL140" s="324"/>
      <c r="AM140" s="324"/>
      <c r="AN140" s="407"/>
      <c r="AO140" s="407"/>
      <c r="AP140" s="407"/>
    </row>
    <row r="141" spans="1:42" x14ac:dyDescent="0.3">
      <c r="A141" s="324"/>
      <c r="B141" s="324"/>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4"/>
      <c r="AL141" s="324"/>
      <c r="AM141" s="324"/>
      <c r="AN141" s="407"/>
      <c r="AO141" s="407"/>
      <c r="AP141" s="407"/>
    </row>
    <row r="142" spans="1:42" x14ac:dyDescent="0.3">
      <c r="A142" s="324"/>
      <c r="B142" s="324"/>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4"/>
      <c r="AL142" s="324"/>
      <c r="AM142" s="324"/>
      <c r="AN142" s="407"/>
      <c r="AO142" s="407"/>
      <c r="AP142" s="407"/>
    </row>
    <row r="143" spans="1:42" x14ac:dyDescent="0.3">
      <c r="A143" s="324"/>
      <c r="B143" s="357"/>
      <c r="C143" s="324"/>
      <c r="D143" s="324"/>
      <c r="E143" s="324"/>
      <c r="F143" s="324"/>
      <c r="G143" s="324"/>
      <c r="H143" s="324"/>
      <c r="I143" s="324"/>
      <c r="J143" s="859"/>
      <c r="K143" s="859"/>
      <c r="L143" s="859"/>
      <c r="M143" s="859"/>
      <c r="N143" s="859"/>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4"/>
      <c r="AL143" s="324"/>
      <c r="AM143" s="324"/>
    </row>
    <row r="144" spans="1:42" ht="9.75" customHeight="1" x14ac:dyDescent="0.3">
      <c r="A144" s="324"/>
      <c r="B144" s="857"/>
      <c r="C144" s="857"/>
      <c r="D144" s="857"/>
      <c r="E144" s="857"/>
      <c r="F144" s="857"/>
      <c r="G144" s="857"/>
      <c r="H144" s="856"/>
      <c r="I144" s="856"/>
      <c r="J144" s="857"/>
      <c r="K144" s="857"/>
      <c r="L144" s="857"/>
      <c r="M144" s="856"/>
      <c r="N144" s="856"/>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row>
    <row r="145" spans="1:39" ht="10.5" customHeight="1" x14ac:dyDescent="0.3">
      <c r="A145" s="324"/>
      <c r="B145" s="857"/>
      <c r="C145" s="857"/>
      <c r="D145" s="857"/>
      <c r="E145" s="857"/>
      <c r="F145" s="857"/>
      <c r="G145" s="857"/>
      <c r="H145" s="856"/>
      <c r="I145" s="856"/>
      <c r="J145" s="857"/>
      <c r="K145" s="857"/>
      <c r="L145" s="857"/>
      <c r="M145" s="856"/>
      <c r="N145" s="856"/>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row>
    <row r="146" spans="1:39" x14ac:dyDescent="0.3">
      <c r="A146" s="324"/>
      <c r="B146" s="465"/>
      <c r="C146" s="472"/>
      <c r="D146" s="472"/>
      <c r="E146" s="315"/>
      <c r="F146" s="315"/>
      <c r="G146" s="315"/>
      <c r="H146" s="315"/>
      <c r="I146" s="315"/>
      <c r="J146" s="315"/>
      <c r="K146" s="315"/>
      <c r="L146" s="315"/>
      <c r="M146" s="315"/>
      <c r="N146" s="315"/>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row>
    <row r="147" spans="1:39" x14ac:dyDescent="0.3">
      <c r="J147" s="324"/>
    </row>
  </sheetData>
  <sheetProtection algorithmName="SHA-512" hashValue="xHyK4fHGuXUDNxoVyF43o+63OVJt+QGeh+UOHznrTpHVjfSqMcVsgRMGL23uffGR+USR3+YXsW4FL6lf4b1MrQ==" saltValue="SqejAEWtyIdWTDsWmMw6Jw==" spinCount="100000" sheet="1" objects="1" scenarios="1" selectLockedCells="1"/>
  <mergeCells count="36">
    <mergeCell ref="L82:N82"/>
    <mergeCell ref="G83:G84"/>
    <mergeCell ref="B3:B4"/>
    <mergeCell ref="B13:C14"/>
    <mergeCell ref="B26:C27"/>
    <mergeCell ref="B81:C82"/>
    <mergeCell ref="G82:I82"/>
    <mergeCell ref="N83:N84"/>
    <mergeCell ref="B144:B145"/>
    <mergeCell ref="C144:C145"/>
    <mergeCell ref="D144:D145"/>
    <mergeCell ref="E144:E145"/>
    <mergeCell ref="F144:F145"/>
    <mergeCell ref="O83:O84"/>
    <mergeCell ref="P83:P84"/>
    <mergeCell ref="B99:C100"/>
    <mergeCell ref="J143:N143"/>
    <mergeCell ref="H83:H84"/>
    <mergeCell ref="I83:I84"/>
    <mergeCell ref="J83:J84"/>
    <mergeCell ref="K83:K84"/>
    <mergeCell ref="L83:L84"/>
    <mergeCell ref="M83:M84"/>
    <mergeCell ref="B83:B84"/>
    <mergeCell ref="C83:C84"/>
    <mergeCell ref="D83:D84"/>
    <mergeCell ref="E83:E84"/>
    <mergeCell ref="F83:F84"/>
    <mergeCell ref="M144:M145"/>
    <mergeCell ref="N144:N145"/>
    <mergeCell ref="G144:G145"/>
    <mergeCell ref="H144:H145"/>
    <mergeCell ref="I144:I145"/>
    <mergeCell ref="J144:J145"/>
    <mergeCell ref="K144:K145"/>
    <mergeCell ref="L144:L145"/>
  </mergeCells>
  <dataValidations count="2">
    <dataValidation type="list" allowBlank="1" showInputMessage="1" showErrorMessage="1" sqref="Q102:Q131" xr:uid="{04B205BE-8AD0-4042-8F2D-E73A02003C54}">
      <formula1>$P$1:$P$2</formula1>
    </dataValidation>
    <dataValidation type="list" allowBlank="1" showInputMessage="1" showErrorMessage="1" sqref="D102:D131" xr:uid="{75FA5983-37BA-4499-A417-A28344064BA8}">
      <formula1>$C$1:$C$2</formula1>
    </dataValidation>
  </dataValidation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6E23B-03D9-4BEC-89CD-D1EAFA4EC0BD}">
  <dimension ref="A1:E54"/>
  <sheetViews>
    <sheetView workbookViewId="0">
      <selection activeCell="B58" sqref="B58:D59"/>
    </sheetView>
  </sheetViews>
  <sheetFormatPr defaultRowHeight="14.4" x14ac:dyDescent="0.3"/>
  <cols>
    <col min="1" max="3" width="12.44140625" customWidth="1"/>
    <col min="4" max="4" width="122.44140625" customWidth="1"/>
    <col min="5" max="5" width="12.44140625" customWidth="1"/>
  </cols>
  <sheetData>
    <row r="1" spans="1:5" x14ac:dyDescent="0.3">
      <c r="A1" s="316" t="s">
        <v>719</v>
      </c>
      <c r="B1" s="316" t="s">
        <v>720</v>
      </c>
      <c r="C1" s="316" t="s">
        <v>721</v>
      </c>
      <c r="D1" s="317" t="s">
        <v>722</v>
      </c>
      <c r="E1" s="316" t="s">
        <v>723</v>
      </c>
    </row>
    <row r="2" spans="1:5" x14ac:dyDescent="0.3">
      <c r="A2">
        <f>Intro!$E$69</f>
        <v>0</v>
      </c>
      <c r="B2" t="s">
        <v>724</v>
      </c>
      <c r="C2" t="s">
        <v>404</v>
      </c>
      <c r="D2">
        <f>Public!B28</f>
        <v>0</v>
      </c>
    </row>
    <row r="3" spans="1:5" x14ac:dyDescent="0.3">
      <c r="A3">
        <f>Intro!$E$69</f>
        <v>0</v>
      </c>
      <c r="C3" t="s">
        <v>403</v>
      </c>
      <c r="D3">
        <f>Public!B70</f>
        <v>0</v>
      </c>
    </row>
    <row r="4" spans="1:5" x14ac:dyDescent="0.3">
      <c r="A4">
        <f>Intro!$E$69</f>
        <v>0</v>
      </c>
      <c r="C4" t="s">
        <v>725</v>
      </c>
      <c r="D4">
        <f>Public!B86</f>
        <v>0</v>
      </c>
    </row>
    <row r="5" spans="1:5" x14ac:dyDescent="0.3">
      <c r="A5">
        <f>Intro!$E$69</f>
        <v>0</v>
      </c>
      <c r="C5" t="s">
        <v>726</v>
      </c>
      <c r="D5">
        <f>Public!B100</f>
        <v>0</v>
      </c>
    </row>
    <row r="6" spans="1:5" x14ac:dyDescent="0.3">
      <c r="A6">
        <f>Intro!$E$69</f>
        <v>0</v>
      </c>
      <c r="C6" t="s">
        <v>727</v>
      </c>
      <c r="D6">
        <f>Public!B115</f>
        <v>0</v>
      </c>
    </row>
    <row r="7" spans="1:5" x14ac:dyDescent="0.3">
      <c r="A7">
        <f>Intro!$E$69</f>
        <v>0</v>
      </c>
      <c r="C7" t="s">
        <v>728</v>
      </c>
      <c r="D7">
        <f>Public!B134</f>
        <v>0</v>
      </c>
    </row>
    <row r="8" spans="1:5" x14ac:dyDescent="0.3">
      <c r="A8">
        <f>Intro!$E$69</f>
        <v>0</v>
      </c>
      <c r="C8" t="s">
        <v>729</v>
      </c>
      <c r="D8">
        <f>Public!D150</f>
        <v>0</v>
      </c>
    </row>
    <row r="9" spans="1:5" x14ac:dyDescent="0.3">
      <c r="A9">
        <f>Intro!$E$69</f>
        <v>0</v>
      </c>
      <c r="C9" t="s">
        <v>730</v>
      </c>
      <c r="D9">
        <f>Public!D155</f>
        <v>0</v>
      </c>
    </row>
    <row r="10" spans="1:5" x14ac:dyDescent="0.3">
      <c r="A10">
        <f>Intro!$E$69</f>
        <v>0</v>
      </c>
      <c r="C10" t="s">
        <v>731</v>
      </c>
      <c r="D10">
        <f>Public!D160</f>
        <v>0</v>
      </c>
    </row>
    <row r="11" spans="1:5" x14ac:dyDescent="0.3">
      <c r="A11">
        <f>Intro!$E$69</f>
        <v>0</v>
      </c>
      <c r="C11" t="s">
        <v>732</v>
      </c>
      <c r="D11">
        <f>Public!B171</f>
        <v>0</v>
      </c>
    </row>
    <row r="12" spans="1:5" x14ac:dyDescent="0.3">
      <c r="A12">
        <f>Intro!$E$69</f>
        <v>0</v>
      </c>
      <c r="C12" t="s">
        <v>733</v>
      </c>
      <c r="D12">
        <f>Public!B185</f>
        <v>0</v>
      </c>
    </row>
    <row r="13" spans="1:5" x14ac:dyDescent="0.3">
      <c r="A13">
        <f>Intro!$E$69</f>
        <v>0</v>
      </c>
      <c r="C13" t="s">
        <v>734</v>
      </c>
      <c r="D13">
        <f>Public!B198</f>
        <v>0</v>
      </c>
    </row>
    <row r="14" spans="1:5" x14ac:dyDescent="0.3">
      <c r="A14">
        <f>Intro!$E$69</f>
        <v>0</v>
      </c>
      <c r="C14" t="s">
        <v>735</v>
      </c>
      <c r="D14">
        <f>Public!B213</f>
        <v>0</v>
      </c>
    </row>
    <row r="15" spans="1:5" x14ac:dyDescent="0.3">
      <c r="A15">
        <f>Intro!$E$69</f>
        <v>0</v>
      </c>
      <c r="C15" t="s">
        <v>736</v>
      </c>
      <c r="D15">
        <f>Public!B239</f>
        <v>0</v>
      </c>
    </row>
    <row r="16" spans="1:5" x14ac:dyDescent="0.3">
      <c r="A16">
        <f>Intro!$E$69</f>
        <v>0</v>
      </c>
      <c r="C16" t="s">
        <v>737</v>
      </c>
      <c r="D16">
        <f>Public!B239</f>
        <v>0</v>
      </c>
    </row>
    <row r="17" spans="1:4" x14ac:dyDescent="0.3">
      <c r="A17">
        <f>Intro!$E$69</f>
        <v>0</v>
      </c>
      <c r="C17" t="s">
        <v>738</v>
      </c>
      <c r="D17">
        <f>Public!B253</f>
        <v>0</v>
      </c>
    </row>
    <row r="18" spans="1:4" x14ac:dyDescent="0.3">
      <c r="A18">
        <f>Intro!$E$69</f>
        <v>0</v>
      </c>
      <c r="C18" t="s">
        <v>739</v>
      </c>
      <c r="D18">
        <f>Public!B268</f>
        <v>0</v>
      </c>
    </row>
    <row r="19" spans="1:4" x14ac:dyDescent="0.3">
      <c r="A19">
        <f>Intro!$E$69</f>
        <v>0</v>
      </c>
      <c r="C19" t="s">
        <v>740</v>
      </c>
      <c r="D19">
        <f>Public!B281</f>
        <v>0</v>
      </c>
    </row>
    <row r="20" spans="1:4" x14ac:dyDescent="0.3">
      <c r="A20">
        <f>Intro!$E$69</f>
        <v>0</v>
      </c>
      <c r="C20" t="s">
        <v>741</v>
      </c>
      <c r="D20">
        <f>Public!B295</f>
        <v>0</v>
      </c>
    </row>
    <row r="21" spans="1:4" x14ac:dyDescent="0.3">
      <c r="A21">
        <f>Intro!$E$69</f>
        <v>0</v>
      </c>
      <c r="C21" t="s">
        <v>742</v>
      </c>
      <c r="D21">
        <f>Public!B309</f>
        <v>0</v>
      </c>
    </row>
    <row r="22" spans="1:4" x14ac:dyDescent="0.3">
      <c r="A22">
        <f>Intro!$E$69</f>
        <v>0</v>
      </c>
      <c r="C22" t="s">
        <v>743</v>
      </c>
      <c r="D22">
        <f>Public!B328</f>
        <v>0</v>
      </c>
    </row>
    <row r="23" spans="1:4" x14ac:dyDescent="0.3">
      <c r="A23">
        <f>Intro!$E$69</f>
        <v>0</v>
      </c>
      <c r="C23" t="s">
        <v>744</v>
      </c>
      <c r="D23">
        <f>Public!B341</f>
        <v>0</v>
      </c>
    </row>
    <row r="24" spans="1:4" x14ac:dyDescent="0.3">
      <c r="A24">
        <f>Intro!$E$69</f>
        <v>0</v>
      </c>
      <c r="C24" t="s">
        <v>745</v>
      </c>
      <c r="D24">
        <f>Public!B357</f>
        <v>0</v>
      </c>
    </row>
    <row r="25" spans="1:4" x14ac:dyDescent="0.3">
      <c r="A25">
        <f>Intro!$E$69</f>
        <v>0</v>
      </c>
      <c r="C25" t="s">
        <v>746</v>
      </c>
      <c r="D25">
        <f>Public!B371</f>
        <v>0</v>
      </c>
    </row>
    <row r="26" spans="1:4" x14ac:dyDescent="0.3">
      <c r="A26">
        <f>Intro!$E$69</f>
        <v>0</v>
      </c>
      <c r="C26" t="s">
        <v>747</v>
      </c>
      <c r="D26">
        <f>Public!B385</f>
        <v>0</v>
      </c>
    </row>
    <row r="27" spans="1:4" x14ac:dyDescent="0.3">
      <c r="A27">
        <f>Intro!$E$69</f>
        <v>0</v>
      </c>
      <c r="B27" t="s">
        <v>748</v>
      </c>
      <c r="C27">
        <f>AddPub!D13</f>
        <v>0</v>
      </c>
      <c r="D27">
        <f>AddPub!E13</f>
        <v>0</v>
      </c>
    </row>
    <row r="28" spans="1:4" x14ac:dyDescent="0.3">
      <c r="A28">
        <f>Intro!$E$69</f>
        <v>0</v>
      </c>
      <c r="B28" t="s">
        <v>749</v>
      </c>
      <c r="C28">
        <f>AddPub!D23</f>
        <v>0</v>
      </c>
      <c r="D28">
        <f>AddPub!E23</f>
        <v>0</v>
      </c>
    </row>
    <row r="29" spans="1:4" x14ac:dyDescent="0.3">
      <c r="A29">
        <f>Intro!$E$69</f>
        <v>0</v>
      </c>
      <c r="B29" t="s">
        <v>750</v>
      </c>
      <c r="C29">
        <f>AddPub!D33</f>
        <v>0</v>
      </c>
      <c r="D29">
        <f>AddPub!E33</f>
        <v>0</v>
      </c>
    </row>
    <row r="30" spans="1:4" x14ac:dyDescent="0.3">
      <c r="A30">
        <f>Intro!$E$69</f>
        <v>0</v>
      </c>
      <c r="B30" t="s">
        <v>751</v>
      </c>
      <c r="C30">
        <f>AddPub!D43</f>
        <v>0</v>
      </c>
      <c r="D30">
        <f>AddPub!E43</f>
        <v>0</v>
      </c>
    </row>
    <row r="31" spans="1:4" x14ac:dyDescent="0.3">
      <c r="A31">
        <f>Intro!$E$69</f>
        <v>0</v>
      </c>
      <c r="B31" t="s">
        <v>752</v>
      </c>
      <c r="C31">
        <f>AddPub!D53</f>
        <v>0</v>
      </c>
      <c r="D31">
        <f>AddPub!E53</f>
        <v>0</v>
      </c>
    </row>
    <row r="32" spans="1:4" x14ac:dyDescent="0.3">
      <c r="A32">
        <f>Intro!$E$69</f>
        <v>0</v>
      </c>
      <c r="B32" t="s">
        <v>753</v>
      </c>
      <c r="C32" t="s">
        <v>382</v>
      </c>
      <c r="D32">
        <f>Pro!B24</f>
        <v>0</v>
      </c>
    </row>
    <row r="33" spans="1:4" x14ac:dyDescent="0.3">
      <c r="A33">
        <f>Intro!$E$69</f>
        <v>0</v>
      </c>
      <c r="C33" t="s">
        <v>404</v>
      </c>
      <c r="D33">
        <f>Pro!B40</f>
        <v>0</v>
      </c>
    </row>
    <row r="34" spans="1:4" x14ac:dyDescent="0.3">
      <c r="A34">
        <f>Intro!$E$69</f>
        <v>0</v>
      </c>
      <c r="C34" t="s">
        <v>402</v>
      </c>
      <c r="D34">
        <f>Pro!B60</f>
        <v>0</v>
      </c>
    </row>
    <row r="35" spans="1:4" x14ac:dyDescent="0.3">
      <c r="A35">
        <f>Intro!$E$69</f>
        <v>0</v>
      </c>
      <c r="C35" t="s">
        <v>403</v>
      </c>
      <c r="D35">
        <f>Pro!B74</f>
        <v>0</v>
      </c>
    </row>
    <row r="36" spans="1:4" x14ac:dyDescent="0.3">
      <c r="A36">
        <f>Intro!$E$69</f>
        <v>0</v>
      </c>
      <c r="C36" t="s">
        <v>725</v>
      </c>
      <c r="D36">
        <f>Pro!B87</f>
        <v>0</v>
      </c>
    </row>
    <row r="37" spans="1:4" x14ac:dyDescent="0.3">
      <c r="A37">
        <f>Intro!$E$69</f>
        <v>0</v>
      </c>
      <c r="C37" t="s">
        <v>728</v>
      </c>
      <c r="D37">
        <f>Pro!B133</f>
        <v>0</v>
      </c>
    </row>
    <row r="38" spans="1:4" x14ac:dyDescent="0.3">
      <c r="A38">
        <f>Intro!$E$69</f>
        <v>0</v>
      </c>
      <c r="C38" t="s">
        <v>754</v>
      </c>
      <c r="D38">
        <f>Pro!B147</f>
        <v>0</v>
      </c>
    </row>
    <row r="39" spans="1:4" x14ac:dyDescent="0.3">
      <c r="A39">
        <f>Intro!$E$69</f>
        <v>0</v>
      </c>
      <c r="B39" t="s">
        <v>755</v>
      </c>
      <c r="C39" t="s">
        <v>727</v>
      </c>
      <c r="D39">
        <f>'Imp-Exp1'!B291</f>
        <v>0</v>
      </c>
    </row>
    <row r="40" spans="1:4" x14ac:dyDescent="0.3">
      <c r="A40">
        <f>Intro!$E$69</f>
        <v>0</v>
      </c>
      <c r="B40" t="s">
        <v>756</v>
      </c>
      <c r="C40" t="s">
        <v>727</v>
      </c>
      <c r="D40">
        <f>'Imp-Exp2'!B291</f>
        <v>0</v>
      </c>
    </row>
    <row r="41" spans="1:4" x14ac:dyDescent="0.3">
      <c r="A41">
        <f>Intro!$E$69</f>
        <v>0</v>
      </c>
      <c r="B41" t="s">
        <v>757</v>
      </c>
      <c r="C41" t="s">
        <v>727</v>
      </c>
      <c r="D41">
        <f>'Imp-Exp3'!B291</f>
        <v>0</v>
      </c>
    </row>
    <row r="42" spans="1:4" x14ac:dyDescent="0.3">
      <c r="A42">
        <f>Intro!$E$69</f>
        <v>0</v>
      </c>
      <c r="B42" t="s">
        <v>758</v>
      </c>
      <c r="C42" t="s">
        <v>727</v>
      </c>
      <c r="D42">
        <f>'Imp-US'!B291</f>
        <v>0</v>
      </c>
    </row>
    <row r="43" spans="1:4" x14ac:dyDescent="0.3">
      <c r="A43">
        <f>Intro!$E$69</f>
        <v>0</v>
      </c>
      <c r="B43" t="s">
        <v>327</v>
      </c>
      <c r="C43" t="s">
        <v>727</v>
      </c>
      <c r="D43">
        <f>'Imp-Other-Autre'!B291</f>
        <v>0</v>
      </c>
    </row>
    <row r="44" spans="1:4" x14ac:dyDescent="0.3">
      <c r="A44">
        <f>Intro!$E$69</f>
        <v>0</v>
      </c>
      <c r="B44" t="s">
        <v>759</v>
      </c>
      <c r="C44" t="str">
        <f>'Invent-Stock'!B36</f>
        <v>Question 2</v>
      </c>
      <c r="D44">
        <f>'Invent-Stock'!B49</f>
        <v>0</v>
      </c>
    </row>
    <row r="45" spans="1:4" x14ac:dyDescent="0.3">
      <c r="A45">
        <f>Intro!$E$69</f>
        <v>0</v>
      </c>
      <c r="C45" t="str">
        <f>'Invent-Stock'!B74</f>
        <v>Question 4</v>
      </c>
      <c r="D45">
        <f>'Invent-Stock'!B87</f>
        <v>0</v>
      </c>
    </row>
    <row r="46" spans="1:4" x14ac:dyDescent="0.3">
      <c r="A46">
        <f>Intro!$E$69</f>
        <v>0</v>
      </c>
      <c r="C46" t="str">
        <f>'Invent-Stock'!B112</f>
        <v>Question 6</v>
      </c>
      <c r="D46">
        <f>'Invent-Stock'!B125</f>
        <v>0</v>
      </c>
    </row>
    <row r="47" spans="1:4" x14ac:dyDescent="0.3">
      <c r="A47">
        <f>Intro!$E$69</f>
        <v>0</v>
      </c>
      <c r="C47" t="str">
        <f>'Invent-Stock'!B134</f>
        <v>Question 7</v>
      </c>
      <c r="D47">
        <f>'Invent-Stock'!B139</f>
        <v>0</v>
      </c>
    </row>
    <row r="48" spans="1:4" x14ac:dyDescent="0.3">
      <c r="A48">
        <f>Intro!$E$69</f>
        <v>0</v>
      </c>
      <c r="C48" t="str">
        <f>'Invent-Stock'!B148</f>
        <v>Question 8</v>
      </c>
      <c r="D48">
        <f>'Invent-Stock'!B153</f>
        <v>0</v>
      </c>
    </row>
    <row r="49" spans="1:4" x14ac:dyDescent="0.3">
      <c r="A49">
        <f>Intro!$E$69</f>
        <v>0</v>
      </c>
      <c r="C49" t="str">
        <f>'Invent-Stock'!B162</f>
        <v>Question 9</v>
      </c>
      <c r="D49">
        <f>'Invent-Stock'!B166</f>
        <v>0</v>
      </c>
    </row>
    <row r="50" spans="1:4" x14ac:dyDescent="0.3">
      <c r="A50">
        <f>Intro!$E$69</f>
        <v>0</v>
      </c>
      <c r="B50" t="s">
        <v>760</v>
      </c>
      <c r="C50">
        <f>AddPro!D13</f>
        <v>0</v>
      </c>
      <c r="D50">
        <f>AddPro!E13</f>
        <v>0</v>
      </c>
    </row>
    <row r="51" spans="1:4" x14ac:dyDescent="0.3">
      <c r="A51">
        <f>Intro!$E$69</f>
        <v>0</v>
      </c>
      <c r="B51" t="s">
        <v>761</v>
      </c>
      <c r="C51">
        <f>AddPro!D23</f>
        <v>0</v>
      </c>
      <c r="D51">
        <f>AddPro!E23</f>
        <v>0</v>
      </c>
    </row>
    <row r="52" spans="1:4" x14ac:dyDescent="0.3">
      <c r="A52">
        <f>Intro!$E$69</f>
        <v>0</v>
      </c>
      <c r="B52" t="s">
        <v>762</v>
      </c>
      <c r="C52">
        <f>AddPro!D33</f>
        <v>0</v>
      </c>
      <c r="D52">
        <f>AddPro!E33</f>
        <v>0</v>
      </c>
    </row>
    <row r="53" spans="1:4" x14ac:dyDescent="0.3">
      <c r="A53">
        <f>Intro!$E$69</f>
        <v>0</v>
      </c>
      <c r="B53" t="s">
        <v>763</v>
      </c>
      <c r="C53">
        <f>AddPro!D43</f>
        <v>0</v>
      </c>
      <c r="D53">
        <f>AddPro!E43</f>
        <v>0</v>
      </c>
    </row>
    <row r="54" spans="1:4" x14ac:dyDescent="0.3">
      <c r="A54">
        <f>Intro!$E$69</f>
        <v>0</v>
      </c>
      <c r="B54" t="s">
        <v>764</v>
      </c>
      <c r="C54">
        <f>AddPro!D53</f>
        <v>0</v>
      </c>
      <c r="D54">
        <f>AddPro!E53</f>
        <v>0</v>
      </c>
    </row>
  </sheetData>
  <sheetProtection algorithmName="SHA-512" hashValue="UXiCh7uFr/L5JLfAaGxu6rW3LztwjMhSnakzqcRZMKYgBAXRMPEauJ3W+EBsY9AeSv3lAHMoq7VXsc18hpsJ+w==" saltValue="p1DryaJXHEE+irUztGgoZQ==" spinCount="100000" sheet="1" objects="1" scenarios="1" selectLockedCells="1"/>
  <phoneticPr fontId="4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3"/>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6" width="30.5546875" style="10" hidden="1" customWidth="1"/>
    <col min="17" max="18" width="9.44140625" style="10" customWidth="1"/>
    <col min="19" max="16384" width="9.44140625" style="10"/>
  </cols>
  <sheetData>
    <row r="1" spans="1:16" x14ac:dyDescent="0.3">
      <c r="O1" s="10" t="s">
        <v>481</v>
      </c>
      <c r="P1" s="10" t="s">
        <v>481</v>
      </c>
    </row>
    <row r="2" spans="1:16" x14ac:dyDescent="0.3">
      <c r="B2" s="12" t="s">
        <v>66</v>
      </c>
      <c r="C2" s="12"/>
      <c r="D2" s="12"/>
      <c r="O2" s="197" t="s">
        <v>93</v>
      </c>
      <c r="P2" s="197" t="s">
        <v>109</v>
      </c>
    </row>
    <row r="3" spans="1:16" x14ac:dyDescent="0.3">
      <c r="B3" s="13"/>
      <c r="C3" s="13"/>
      <c r="D3" s="13"/>
      <c r="O3" s="2"/>
      <c r="P3" s="41"/>
    </row>
    <row r="4" spans="1:16" s="2" customFormat="1" x14ac:dyDescent="0.3">
      <c r="A4" s="4"/>
      <c r="B4" s="545" t="str">
        <f>IF(Intro!$G$20="English",O4,P4)</f>
        <v>IMPORTERS' QUESTIONNAIRE</v>
      </c>
      <c r="C4" s="546"/>
      <c r="D4" s="546"/>
      <c r="E4" s="546"/>
      <c r="F4" s="546"/>
      <c r="G4" s="546"/>
      <c r="H4" s="546"/>
      <c r="I4" s="546"/>
      <c r="J4" s="546"/>
      <c r="K4" s="546"/>
      <c r="L4" s="547"/>
      <c r="M4" s="5"/>
      <c r="N4" s="5"/>
      <c r="O4" s="19" t="s">
        <v>308</v>
      </c>
      <c r="P4" s="107" t="s">
        <v>309</v>
      </c>
    </row>
    <row r="5" spans="1:16" s="2" customFormat="1" x14ac:dyDescent="0.3">
      <c r="A5" s="4"/>
      <c r="B5" s="548" t="str">
        <f>Intro!B5</f>
        <v>NQ-2026-002</v>
      </c>
      <c r="C5" s="549"/>
      <c r="D5" s="549"/>
      <c r="E5" s="549"/>
      <c r="F5" s="549"/>
      <c r="G5" s="549"/>
      <c r="H5" s="549"/>
      <c r="I5" s="549"/>
      <c r="J5" s="549"/>
      <c r="K5" s="549"/>
      <c r="L5" s="550"/>
      <c r="M5" s="5"/>
      <c r="N5" s="5"/>
      <c r="O5" s="19"/>
      <c r="P5" s="9"/>
    </row>
    <row r="6" spans="1:16" s="6" customFormat="1" x14ac:dyDescent="0.3">
      <c r="A6" s="4"/>
      <c r="B6" s="551" t="str">
        <f>UPPER(IF(Intro!$G$20="English",Variables!B3,Variables!C3))</f>
        <v>FORGED GRINDING MEDIA</v>
      </c>
      <c r="C6" s="552"/>
      <c r="D6" s="552"/>
      <c r="E6" s="552"/>
      <c r="F6" s="552"/>
      <c r="G6" s="552"/>
      <c r="H6" s="552"/>
      <c r="I6" s="552"/>
      <c r="J6" s="552"/>
      <c r="K6" s="552"/>
      <c r="L6" s="553"/>
      <c r="M6" s="19"/>
      <c r="N6" s="19"/>
      <c r="O6" s="15"/>
      <c r="P6" s="27"/>
    </row>
    <row r="7" spans="1:16" s="6" customFormat="1" x14ac:dyDescent="0.3">
      <c r="A7" s="4"/>
      <c r="B7" s="14"/>
      <c r="C7" s="14"/>
      <c r="D7" s="14"/>
      <c r="E7" s="3"/>
      <c r="F7" s="3"/>
      <c r="G7" s="3"/>
      <c r="H7" s="3"/>
      <c r="I7" s="3"/>
      <c r="J7" s="3"/>
      <c r="K7" s="3"/>
      <c r="L7" s="3"/>
      <c r="O7" s="15"/>
      <c r="P7" s="27"/>
    </row>
    <row r="8" spans="1:16" s="2" customFormat="1" x14ac:dyDescent="0.3">
      <c r="A8" s="4"/>
      <c r="B8" s="509" t="str">
        <f>UPPER(IF(Intro!$G$20="English",O8,P8))</f>
        <v>QUESTIONNAIRE OUTLINE</v>
      </c>
      <c r="C8" s="510"/>
      <c r="D8" s="510" t="str">
        <f>UPPER(IF(Intro!$G$20="English",P8,Q8))</f>
        <v>APERÇU DU QUESTIONNAIRE</v>
      </c>
      <c r="E8" s="510" t="str">
        <f>UPPER(IF(Intro!$G$20="English",Q8,R8))</f>
        <v/>
      </c>
      <c r="F8" s="510" t="str">
        <f>UPPER(IF(Intro!$G$20="English",R8,S8))</f>
        <v/>
      </c>
      <c r="G8" s="510" t="str">
        <f>UPPER(IF(Intro!$G$20="English",S8,T8))</f>
        <v/>
      </c>
      <c r="H8" s="510" t="str">
        <f>UPPER(IF(Intro!$G$20="English",T8,U8))</f>
        <v/>
      </c>
      <c r="I8" s="510" t="str">
        <f>UPPER(IF(Intro!$G$20="English",U8,V8))</f>
        <v/>
      </c>
      <c r="J8" s="510" t="str">
        <f>UPPER(IF(Intro!$G$20="English",V8,W8))</f>
        <v/>
      </c>
      <c r="K8" s="510" t="str">
        <f>UPPER(IF(Intro!$G$20="English",W8,X8))</f>
        <v/>
      </c>
      <c r="L8" s="511" t="str">
        <f>UPPER(IF(Intro!$G$20="English",X8,Y8))</f>
        <v/>
      </c>
      <c r="M8" s="6"/>
      <c r="N8" s="5"/>
      <c r="O8" s="108" t="s">
        <v>310</v>
      </c>
      <c r="P8" s="108" t="s">
        <v>311</v>
      </c>
    </row>
    <row r="9" spans="1:16" x14ac:dyDescent="0.3">
      <c r="B9" s="16"/>
      <c r="C9" s="35"/>
      <c r="D9" s="35"/>
      <c r="E9" s="36"/>
      <c r="F9" s="36"/>
      <c r="G9" s="36"/>
      <c r="H9" s="36"/>
      <c r="I9" s="36"/>
      <c r="J9" s="36"/>
      <c r="K9" s="36"/>
      <c r="L9" s="17"/>
      <c r="M9" s="10"/>
    </row>
    <row r="10" spans="1:16" s="38" customFormat="1" x14ac:dyDescent="0.3">
      <c r="A10" s="49"/>
      <c r="B10" s="503" t="str">
        <f>IF(Intro!$G$20="English",O10,P10)</f>
        <v xml:space="preserve">This questionnaire is divided into two parts:
</v>
      </c>
      <c r="C10" s="504"/>
      <c r="D10" s="504"/>
      <c r="E10" s="504"/>
      <c r="F10" s="504"/>
      <c r="G10" s="504"/>
      <c r="H10" s="504"/>
      <c r="I10" s="504"/>
      <c r="J10" s="504"/>
      <c r="K10" s="504"/>
      <c r="L10" s="505"/>
      <c r="O10" s="10" t="s">
        <v>113</v>
      </c>
      <c r="P10" s="10" t="s">
        <v>114</v>
      </c>
    </row>
    <row r="11" spans="1:16" s="38" customFormat="1" x14ac:dyDescent="0.3">
      <c r="A11" s="49"/>
      <c r="B11" s="79"/>
      <c r="C11" s="80"/>
      <c r="D11" s="80"/>
      <c r="E11" s="80"/>
      <c r="F11" s="80"/>
      <c r="G11" s="80"/>
      <c r="H11" s="80"/>
      <c r="I11" s="80"/>
      <c r="J11" s="80"/>
      <c r="K11" s="80"/>
      <c r="L11" s="81"/>
      <c r="O11" s="10"/>
      <c r="P11" s="10"/>
    </row>
    <row r="12" spans="1:16" s="38" customFormat="1" x14ac:dyDescent="0.3">
      <c r="A12" s="49"/>
      <c r="B12" s="503" t="str">
        <f>IF(Intro!$G$20="English",O12,P12)</f>
        <v xml:space="preserve">PART I (Blue Tabs) - Information requested in this part is public. Requests to treat any of this information as confidential must be fully justified in writing and accompanied by a redacted version for the public record.
</v>
      </c>
      <c r="C12" s="504"/>
      <c r="D12" s="504"/>
      <c r="E12" s="504"/>
      <c r="F12" s="504"/>
      <c r="G12" s="504"/>
      <c r="H12" s="504"/>
      <c r="I12" s="504"/>
      <c r="J12" s="504"/>
      <c r="K12" s="504"/>
      <c r="L12" s="505"/>
      <c r="O12" s="10" t="s">
        <v>115</v>
      </c>
      <c r="P12" s="10" t="s">
        <v>116</v>
      </c>
    </row>
    <row r="13" spans="1:16" s="38" customFormat="1" x14ac:dyDescent="0.3">
      <c r="A13" s="49"/>
      <c r="B13" s="503"/>
      <c r="C13" s="504"/>
      <c r="D13" s="504"/>
      <c r="E13" s="504"/>
      <c r="F13" s="504"/>
      <c r="G13" s="504"/>
      <c r="H13" s="504"/>
      <c r="I13" s="504"/>
      <c r="J13" s="504"/>
      <c r="K13" s="504"/>
      <c r="L13" s="505"/>
      <c r="O13" s="10"/>
      <c r="P13" s="10"/>
    </row>
    <row r="14" spans="1:16" s="38" customFormat="1" x14ac:dyDescent="0.3">
      <c r="A14" s="49"/>
      <c r="B14" s="79"/>
      <c r="C14" s="80"/>
      <c r="D14" s="80"/>
      <c r="E14" s="80"/>
      <c r="F14" s="80"/>
      <c r="G14" s="80"/>
      <c r="H14" s="80"/>
      <c r="I14" s="80"/>
      <c r="J14" s="80"/>
      <c r="K14" s="80"/>
      <c r="L14" s="81"/>
      <c r="O14" s="10"/>
      <c r="P14" s="10"/>
    </row>
    <row r="15" spans="1:16" s="38" customFormat="1" x14ac:dyDescent="0.3">
      <c r="A15" s="49"/>
      <c r="B15" s="503" t="str">
        <f>IF(Intro!$G$20="English",O15,P15)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504"/>
      <c r="D15" s="504"/>
      <c r="E15" s="504"/>
      <c r="F15" s="504"/>
      <c r="G15" s="504"/>
      <c r="H15" s="504"/>
      <c r="I15" s="504"/>
      <c r="J15" s="504"/>
      <c r="K15" s="504"/>
      <c r="L15" s="505"/>
      <c r="O15" s="10" t="s">
        <v>117</v>
      </c>
      <c r="P15" s="10" t="s">
        <v>118</v>
      </c>
    </row>
    <row r="16" spans="1:16" s="38" customFormat="1" x14ac:dyDescent="0.3">
      <c r="A16" s="49"/>
      <c r="B16" s="503"/>
      <c r="C16" s="504"/>
      <c r="D16" s="504"/>
      <c r="E16" s="504"/>
      <c r="F16" s="504"/>
      <c r="G16" s="504"/>
      <c r="H16" s="504"/>
      <c r="I16" s="504"/>
      <c r="J16" s="504"/>
      <c r="K16" s="504"/>
      <c r="L16" s="505"/>
      <c r="O16" s="10"/>
      <c r="P16" s="10"/>
    </row>
    <row r="17" spans="1:16" s="38" customFormat="1" x14ac:dyDescent="0.3">
      <c r="A17" s="49"/>
      <c r="B17" s="50"/>
      <c r="C17" s="51"/>
      <c r="D17" s="51"/>
      <c r="E17" s="51"/>
      <c r="F17" s="51"/>
      <c r="G17" s="51"/>
      <c r="H17" s="51"/>
      <c r="I17" s="51"/>
      <c r="J17" s="51"/>
      <c r="K17" s="51"/>
      <c r="L17" s="52"/>
      <c r="O17" s="10"/>
      <c r="P17" s="10"/>
    </row>
    <row r="18" spans="1:16" s="6" customFormat="1" x14ac:dyDescent="0.3">
      <c r="A18" s="4"/>
      <c r="B18" s="14"/>
      <c r="C18" s="14"/>
      <c r="D18" s="14"/>
      <c r="E18" s="3"/>
      <c r="F18" s="3"/>
      <c r="G18" s="3"/>
      <c r="H18" s="3"/>
      <c r="I18" s="3"/>
      <c r="J18" s="3"/>
      <c r="K18" s="3"/>
      <c r="L18" s="3"/>
      <c r="O18" s="15"/>
      <c r="P18" s="27"/>
    </row>
    <row r="19" spans="1:16" s="2" customFormat="1" x14ac:dyDescent="0.3">
      <c r="A19" s="4"/>
      <c r="B19" s="509" t="str">
        <f>UPPER(IF(Intro!$G$20="English",O19,P19))</f>
        <v>ADDITIONAL PRODUCT INFORMATION</v>
      </c>
      <c r="C19" s="510"/>
      <c r="D19" s="510" t="str">
        <f>UPPER(IF(Intro!$G$20="English",P19,Q19))</f>
        <v>RENSEIGNEMENTS ADDITIONNELS SUR LE PRODUIT</v>
      </c>
      <c r="E19" s="510" t="str">
        <f>UPPER(IF(Intro!$G$20="English",Q19,R19))</f>
        <v/>
      </c>
      <c r="F19" s="510" t="str">
        <f>UPPER(IF(Intro!$G$20="English",R19,S19))</f>
        <v/>
      </c>
      <c r="G19" s="510" t="str">
        <f>UPPER(IF(Intro!$G$20="English",S19,T19))</f>
        <v/>
      </c>
      <c r="H19" s="510" t="str">
        <f>UPPER(IF(Intro!$G$20="English",T19,U19))</f>
        <v/>
      </c>
      <c r="I19" s="510" t="str">
        <f>UPPER(IF(Intro!$G$20="English",U19,V19))</f>
        <v/>
      </c>
      <c r="J19" s="510" t="str">
        <f>UPPER(IF(Intro!$G$20="English",V19,W19))</f>
        <v/>
      </c>
      <c r="K19" s="510" t="str">
        <f>UPPER(IF(Intro!$G$20="English",W19,X19))</f>
        <v/>
      </c>
      <c r="L19" s="511" t="str">
        <f>UPPER(IF(Intro!$G$20="English",X19,Y19))</f>
        <v/>
      </c>
      <c r="M19" s="6"/>
      <c r="N19" s="5"/>
      <c r="O19" s="109" t="s">
        <v>312</v>
      </c>
      <c r="P19" s="109" t="s">
        <v>313</v>
      </c>
    </row>
    <row r="20" spans="1:16" x14ac:dyDescent="0.3">
      <c r="B20" s="16"/>
      <c r="C20" s="35"/>
      <c r="D20" s="35"/>
      <c r="E20" s="36"/>
      <c r="F20" s="36"/>
      <c r="G20" s="36"/>
      <c r="H20" s="36"/>
      <c r="I20" s="36"/>
      <c r="J20" s="36"/>
      <c r="K20" s="36"/>
      <c r="L20" s="17"/>
      <c r="M20" s="10"/>
    </row>
    <row r="21" spans="1:16" s="38" customFormat="1" x14ac:dyDescent="0.3">
      <c r="A21" s="49"/>
      <c r="B21" s="622" t="str">
        <f>IF(Intro!$G$20="English",HYPERLINK(Variables!B17),HYPERLINK(Variables!C17))</f>
        <v>https://www.cbsa-asfc.gc.ca/sima-lmsi/i-e/fgm2026/fgm2026-in-eng.html#3-2</v>
      </c>
      <c r="C21" s="623"/>
      <c r="D21" s="623"/>
      <c r="E21" s="623"/>
      <c r="F21" s="623"/>
      <c r="G21" s="623"/>
      <c r="H21" s="623"/>
      <c r="I21" s="623"/>
      <c r="J21" s="623"/>
      <c r="K21" s="623"/>
      <c r="L21" s="624"/>
      <c r="O21" s="10"/>
      <c r="P21" s="40"/>
    </row>
    <row r="22" spans="1:16" s="38" customFormat="1" x14ac:dyDescent="0.3">
      <c r="A22" s="49"/>
      <c r="B22" s="50"/>
      <c r="C22" s="51"/>
      <c r="D22" s="51"/>
      <c r="E22" s="51"/>
      <c r="F22" s="51"/>
      <c r="G22" s="51"/>
      <c r="H22" s="51"/>
      <c r="I22" s="51"/>
      <c r="J22" s="51"/>
      <c r="K22" s="51"/>
      <c r="L22" s="52"/>
      <c r="O22" s="10"/>
      <c r="P22" s="10"/>
    </row>
    <row r="23" spans="1:16" s="6" customFormat="1" x14ac:dyDescent="0.3">
      <c r="A23" s="4"/>
      <c r="B23" s="14"/>
      <c r="C23" s="14"/>
      <c r="D23" s="14"/>
      <c r="E23" s="3"/>
      <c r="F23" s="3"/>
      <c r="G23" s="3"/>
      <c r="H23" s="3"/>
      <c r="I23" s="3"/>
      <c r="J23" s="3"/>
      <c r="K23" s="3"/>
      <c r="L23" s="3"/>
      <c r="O23" s="15"/>
      <c r="P23" s="27"/>
    </row>
    <row r="24" spans="1:16" s="2" customFormat="1" x14ac:dyDescent="0.3">
      <c r="A24" s="4"/>
      <c r="B24" s="509" t="str">
        <f>UPPER(IF(Intro!$G$20="English",O24,P24))</f>
        <v>CUSTOMS TARIFF</v>
      </c>
      <c r="C24" s="510"/>
      <c r="D24" s="510" t="str">
        <f>UPPER(IF(Intro!$G$20="English",P24,Q24))</f>
        <v>TARIF DES DOUANES</v>
      </c>
      <c r="E24" s="510" t="str">
        <f>UPPER(IF(Intro!$G$20="English",Q24,R24))</f>
        <v/>
      </c>
      <c r="F24" s="510" t="str">
        <f>UPPER(IF(Intro!$G$20="English",R24,S24))</f>
        <v/>
      </c>
      <c r="G24" s="510" t="str">
        <f>UPPER(IF(Intro!$G$20="English",S24,T24))</f>
        <v/>
      </c>
      <c r="H24" s="510" t="str">
        <f>UPPER(IF(Intro!$G$20="English",T24,U24))</f>
        <v/>
      </c>
      <c r="I24" s="510" t="str">
        <f>UPPER(IF(Intro!$G$20="English",U24,V24))</f>
        <v/>
      </c>
      <c r="J24" s="510" t="str">
        <f>UPPER(IF(Intro!$G$20="English",V24,W24))</f>
        <v/>
      </c>
      <c r="K24" s="510" t="str">
        <f>UPPER(IF(Intro!$G$20="English",W24,X24))</f>
        <v/>
      </c>
      <c r="L24" s="511" t="str">
        <f>UPPER(IF(Intro!$G$20="English",X24,Y24))</f>
        <v/>
      </c>
      <c r="M24" s="6"/>
      <c r="N24" s="5"/>
      <c r="O24" s="19" t="s">
        <v>67</v>
      </c>
      <c r="P24" s="9" t="s">
        <v>68</v>
      </c>
    </row>
    <row r="25" spans="1:16" x14ac:dyDescent="0.3">
      <c r="B25" s="16"/>
      <c r="C25" s="35"/>
      <c r="D25" s="35"/>
      <c r="E25" s="36"/>
      <c r="F25" s="36"/>
      <c r="G25" s="36"/>
      <c r="H25" s="36"/>
      <c r="I25" s="36"/>
      <c r="J25" s="36"/>
      <c r="K25" s="36"/>
      <c r="L25" s="17"/>
      <c r="M25" s="10"/>
    </row>
    <row r="26" spans="1:16" s="38" customFormat="1" x14ac:dyDescent="0.3">
      <c r="A26" s="49"/>
      <c r="B26" s="500" t="str">
        <f>IF(Intro!$G$20="English",O26,P26)</f>
        <v>The goods are commonly classified in the Customs Tariff under the following Harmonized Commodity Description and Coding System (HS) number(s):</v>
      </c>
      <c r="C26" s="501"/>
      <c r="D26" s="501"/>
      <c r="E26" s="501"/>
      <c r="F26" s="501"/>
      <c r="G26" s="501"/>
      <c r="H26" s="501"/>
      <c r="I26" s="501"/>
      <c r="J26" s="501"/>
      <c r="K26" s="501"/>
      <c r="L26" s="502"/>
      <c r="O26" s="10" t="s">
        <v>349</v>
      </c>
      <c r="P26" s="10" t="s">
        <v>350</v>
      </c>
    </row>
    <row r="27" spans="1:16" x14ac:dyDescent="0.3">
      <c r="B27" s="113"/>
      <c r="C27" s="104"/>
      <c r="D27" s="106"/>
      <c r="E27" s="106"/>
      <c r="F27" s="106"/>
      <c r="G27" s="106"/>
      <c r="H27" s="106"/>
      <c r="I27" s="106"/>
      <c r="J27" s="106"/>
      <c r="K27" s="106"/>
      <c r="L27" s="105"/>
      <c r="M27" s="10"/>
    </row>
    <row r="28" spans="1:16" s="38" customFormat="1" x14ac:dyDescent="0.3">
      <c r="A28" s="49"/>
      <c r="B28" s="500"/>
      <c r="C28" s="501"/>
      <c r="D28" s="613" t="str">
        <f>Variables!B20</f>
        <v>7326.11.00.00</v>
      </c>
      <c r="E28" s="614"/>
      <c r="F28" s="614"/>
      <c r="G28" s="614"/>
      <c r="H28" s="614"/>
      <c r="I28" s="614"/>
      <c r="J28" s="615"/>
      <c r="K28" s="66"/>
      <c r="L28" s="67"/>
      <c r="O28" s="10" t="str">
        <f>"Prior to "&amp;Variables!B19&amp;":"</f>
        <v>Prior to Date of change:</v>
      </c>
      <c r="P28" s="10" t="str">
        <f>"Avant le "&amp;Variables!C19&amp;" :"</f>
        <v>Avant le Date of change :</v>
      </c>
    </row>
    <row r="29" spans="1:16" s="38" customFormat="1" x14ac:dyDescent="0.3">
      <c r="A29" s="49"/>
      <c r="B29" s="500"/>
      <c r="C29" s="501"/>
      <c r="D29" s="616"/>
      <c r="E29" s="617"/>
      <c r="F29" s="617"/>
      <c r="G29" s="617"/>
      <c r="H29" s="617"/>
      <c r="I29" s="617"/>
      <c r="J29" s="618"/>
      <c r="K29" s="119"/>
      <c r="L29" s="120"/>
      <c r="O29" s="10"/>
      <c r="P29" s="10"/>
    </row>
    <row r="30" spans="1:16" s="38" customFormat="1" x14ac:dyDescent="0.3">
      <c r="A30" s="49"/>
      <c r="B30" s="500"/>
      <c r="C30" s="501"/>
      <c r="D30" s="619"/>
      <c r="E30" s="620"/>
      <c r="F30" s="620"/>
      <c r="G30" s="620"/>
      <c r="H30" s="620"/>
      <c r="I30" s="620"/>
      <c r="J30" s="621"/>
      <c r="K30" s="119"/>
      <c r="L30" s="120"/>
      <c r="O30" s="10"/>
      <c r="P30" s="10"/>
    </row>
    <row r="31" spans="1:16" hidden="1" x14ac:dyDescent="0.3">
      <c r="B31" s="114"/>
      <c r="C31" s="118"/>
      <c r="D31" s="106"/>
      <c r="E31" s="106"/>
      <c r="F31" s="106"/>
      <c r="G31" s="106"/>
      <c r="H31" s="106"/>
      <c r="I31" s="106"/>
      <c r="J31" s="106"/>
      <c r="K31" s="106"/>
      <c r="L31" s="105"/>
      <c r="M31" s="10"/>
    </row>
    <row r="32" spans="1:16" s="38" customFormat="1" hidden="1" x14ac:dyDescent="0.3">
      <c r="A32" s="49"/>
      <c r="B32" s="500" t="str">
        <f>IF(Intro!$G$20="English",O32,P32)</f>
        <v>Beginning Date of change:</v>
      </c>
      <c r="C32" s="501"/>
      <c r="D32" s="613" t="str">
        <f>Variables!B21</f>
        <v>7326.11.00.00</v>
      </c>
      <c r="E32" s="614"/>
      <c r="F32" s="614"/>
      <c r="G32" s="614"/>
      <c r="H32" s="614"/>
      <c r="I32" s="614"/>
      <c r="J32" s="615"/>
      <c r="K32" s="68"/>
      <c r="L32" s="67"/>
      <c r="O32" s="10" t="str">
        <f>"Beginning "&amp;Variables!B19&amp;":"</f>
        <v>Beginning Date of change:</v>
      </c>
      <c r="P32" s="10" t="str">
        <f>"À partir du "&amp;Variables!C19&amp;" :"</f>
        <v>À partir du Date of change :</v>
      </c>
    </row>
    <row r="33" spans="1:18" s="38" customFormat="1" hidden="1" x14ac:dyDescent="0.3">
      <c r="A33" s="49"/>
      <c r="B33" s="500"/>
      <c r="C33" s="501"/>
      <c r="D33" s="616"/>
      <c r="E33" s="617"/>
      <c r="F33" s="617"/>
      <c r="G33" s="617"/>
      <c r="H33" s="617"/>
      <c r="I33" s="617"/>
      <c r="J33" s="618"/>
      <c r="K33" s="121"/>
      <c r="L33" s="120"/>
      <c r="O33" s="10"/>
      <c r="P33" s="10"/>
    </row>
    <row r="34" spans="1:18" s="38" customFormat="1" hidden="1" x14ac:dyDescent="0.3">
      <c r="A34" s="49"/>
      <c r="B34" s="500"/>
      <c r="C34" s="501"/>
      <c r="D34" s="619"/>
      <c r="E34" s="620"/>
      <c r="F34" s="620"/>
      <c r="G34" s="620"/>
      <c r="H34" s="620"/>
      <c r="I34" s="620"/>
      <c r="J34" s="621"/>
      <c r="K34" s="121"/>
      <c r="L34" s="120"/>
      <c r="O34" s="10"/>
      <c r="P34" s="10"/>
    </row>
    <row r="35" spans="1:18" s="272" customFormat="1" x14ac:dyDescent="0.3">
      <c r="A35" s="95"/>
      <c r="B35" s="253"/>
      <c r="C35" s="254"/>
      <c r="D35" s="269"/>
      <c r="E35" s="269"/>
      <c r="F35" s="269"/>
      <c r="G35" s="269"/>
      <c r="H35" s="269"/>
      <c r="I35" s="269"/>
      <c r="J35" s="269"/>
      <c r="K35" s="270"/>
      <c r="L35" s="271"/>
      <c r="O35" s="158"/>
      <c r="P35" s="158"/>
    </row>
    <row r="36" spans="1:18" s="272" customFormat="1" x14ac:dyDescent="0.3">
      <c r="A36" s="95"/>
      <c r="B36" s="500" t="str">
        <f>IF(Intro!$G$20="English",O36,P36)</f>
        <v>These tariff classification numbers may include other products than the goods, and the goods may also fall under additional tariff classification numbers.</v>
      </c>
      <c r="C36" s="501"/>
      <c r="D36" s="501"/>
      <c r="E36" s="501"/>
      <c r="F36" s="501"/>
      <c r="G36" s="501"/>
      <c r="H36" s="501"/>
      <c r="I36" s="501"/>
      <c r="J36" s="501"/>
      <c r="K36" s="501"/>
      <c r="L36" s="502"/>
      <c r="O36" s="10" t="s">
        <v>540</v>
      </c>
      <c r="P36" s="10" t="s">
        <v>541</v>
      </c>
    </row>
    <row r="37" spans="1:18" s="38" customFormat="1" x14ac:dyDescent="0.3">
      <c r="A37" s="49"/>
      <c r="B37" s="50"/>
      <c r="C37" s="51"/>
      <c r="D37" s="51"/>
      <c r="E37" s="51"/>
      <c r="F37" s="51"/>
      <c r="G37" s="51"/>
      <c r="H37" s="51"/>
      <c r="I37" s="51"/>
      <c r="J37" s="51"/>
      <c r="K37" s="51"/>
      <c r="L37" s="52"/>
      <c r="O37" s="10"/>
      <c r="P37" s="10"/>
    </row>
    <row r="38" spans="1:18" s="6" customFormat="1" x14ac:dyDescent="0.3">
      <c r="A38" s="4"/>
      <c r="B38" s="14"/>
      <c r="C38" s="14"/>
      <c r="D38" s="14"/>
      <c r="E38" s="3"/>
      <c r="F38" s="3"/>
      <c r="G38" s="3"/>
      <c r="H38" s="3"/>
      <c r="I38" s="3"/>
      <c r="J38" s="3"/>
      <c r="K38" s="3"/>
      <c r="L38" s="3"/>
      <c r="O38" s="15"/>
      <c r="P38" s="27"/>
    </row>
    <row r="39" spans="1:18" s="2" customFormat="1" x14ac:dyDescent="0.3">
      <c r="A39" s="4"/>
      <c r="B39" s="591" t="str">
        <f>UPPER(IF(Intro!$G$20="English",O39,P39))</f>
        <v>GLOSSARY</v>
      </c>
      <c r="C39" s="591"/>
      <c r="D39" s="591" t="s">
        <v>196</v>
      </c>
      <c r="E39" s="591" t="s">
        <v>197</v>
      </c>
      <c r="F39" s="591" t="s">
        <v>197</v>
      </c>
      <c r="G39" s="591" t="s">
        <v>197</v>
      </c>
      <c r="H39" s="591" t="s">
        <v>197</v>
      </c>
      <c r="I39" s="591" t="s">
        <v>197</v>
      </c>
      <c r="J39" s="591" t="s">
        <v>197</v>
      </c>
      <c r="K39" s="591" t="s">
        <v>197</v>
      </c>
      <c r="L39" s="591" t="s">
        <v>197</v>
      </c>
      <c r="M39" s="6"/>
      <c r="N39" s="5"/>
      <c r="O39" s="19" t="s">
        <v>314</v>
      </c>
      <c r="P39" s="19" t="s">
        <v>196</v>
      </c>
    </row>
    <row r="40" spans="1:18" s="2" customFormat="1" x14ac:dyDescent="0.3">
      <c r="A40" s="4"/>
      <c r="B40" s="609" t="str">
        <f>IF(Intro!$G$20="English",O40,P40)</f>
        <v>Delivery costs</v>
      </c>
      <c r="C40" s="610"/>
      <c r="D40" s="611" t="str">
        <f>IF(Intro!$G$20="English",O41,P41)</f>
        <v>The freight, handling, and insurance incurred by your firm from the point of direct shipment in Canada include all domestic delivery costs, including any costs incurred for the use of any stock yards or depots, and handling or delivery costs from those locations to the end user or an estimate of such delivery costs incurred by your customers.</v>
      </c>
      <c r="E40" s="611"/>
      <c r="F40" s="611"/>
      <c r="G40" s="611"/>
      <c r="H40" s="611"/>
      <c r="I40" s="611"/>
      <c r="J40" s="611"/>
      <c r="K40" s="611"/>
      <c r="L40" s="612"/>
      <c r="M40" s="6"/>
      <c r="N40" s="5"/>
      <c r="O40" s="10" t="s">
        <v>484</v>
      </c>
      <c r="P40" s="10" t="s">
        <v>485</v>
      </c>
    </row>
    <row r="41" spans="1:18" s="2" customFormat="1" x14ac:dyDescent="0.3">
      <c r="A41" s="4"/>
      <c r="B41" s="596"/>
      <c r="C41" s="597"/>
      <c r="D41" s="592"/>
      <c r="E41" s="592"/>
      <c r="F41" s="592"/>
      <c r="G41" s="592"/>
      <c r="H41" s="592"/>
      <c r="I41" s="592"/>
      <c r="J41" s="592"/>
      <c r="K41" s="592"/>
      <c r="L41" s="593"/>
      <c r="M41" s="6"/>
      <c r="N41" s="5"/>
      <c r="O41" s="10" t="s">
        <v>591</v>
      </c>
      <c r="P41" s="9" t="s">
        <v>592</v>
      </c>
    </row>
    <row r="42" spans="1:18" s="2" customFormat="1" x14ac:dyDescent="0.3">
      <c r="A42" s="4"/>
      <c r="B42" s="596"/>
      <c r="C42" s="597"/>
      <c r="D42" s="592"/>
      <c r="E42" s="592"/>
      <c r="F42" s="592"/>
      <c r="G42" s="592"/>
      <c r="H42" s="592"/>
      <c r="I42" s="592"/>
      <c r="J42" s="592"/>
      <c r="K42" s="592"/>
      <c r="L42" s="593"/>
      <c r="M42" s="6"/>
      <c r="N42" s="5"/>
      <c r="O42" s="109"/>
      <c r="P42" s="109"/>
    </row>
    <row r="43" spans="1:18" s="38" customFormat="1" x14ac:dyDescent="0.3">
      <c r="A43" s="49"/>
      <c r="B43" s="607" t="str">
        <f>IF(Intro!$G$20="English",O43,P43)</f>
        <v>Net delivered purchase value (laid-in cost)</v>
      </c>
      <c r="C43" s="608"/>
      <c r="D43" s="600" t="str">
        <f>IF(Intro!$G$20="English",O44,P44)</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43" s="600"/>
      <c r="F43" s="600"/>
      <c r="G43" s="600"/>
      <c r="H43" s="600"/>
      <c r="I43" s="600"/>
      <c r="J43" s="600"/>
      <c r="K43" s="600"/>
      <c r="L43" s="601"/>
      <c r="O43" s="10" t="s">
        <v>184</v>
      </c>
      <c r="P43" s="10" t="s">
        <v>424</v>
      </c>
    </row>
    <row r="44" spans="1:18" s="38" customFormat="1" x14ac:dyDescent="0.3">
      <c r="A44" s="49"/>
      <c r="B44" s="596"/>
      <c r="C44" s="597"/>
      <c r="D44" s="592"/>
      <c r="E44" s="592"/>
      <c r="F44" s="592"/>
      <c r="G44" s="592"/>
      <c r="H44" s="592"/>
      <c r="I44" s="592"/>
      <c r="J44" s="592"/>
      <c r="K44" s="592"/>
      <c r="L44" s="593"/>
      <c r="O44" s="15" t="s">
        <v>270</v>
      </c>
      <c r="P44" s="15" t="s">
        <v>271</v>
      </c>
      <c r="Q44" s="15"/>
      <c r="R44" s="15"/>
    </row>
    <row r="45" spans="1:18" s="38" customFormat="1" x14ac:dyDescent="0.3">
      <c r="A45" s="49"/>
      <c r="B45" s="596"/>
      <c r="C45" s="597"/>
      <c r="D45" s="592"/>
      <c r="E45" s="592"/>
      <c r="F45" s="592"/>
      <c r="G45" s="592"/>
      <c r="H45" s="592"/>
      <c r="I45" s="592"/>
      <c r="J45" s="592"/>
      <c r="K45" s="592"/>
      <c r="L45" s="593"/>
      <c r="O45" s="15"/>
      <c r="P45" s="15"/>
      <c r="Q45" s="15"/>
      <c r="R45" s="15"/>
    </row>
    <row r="46" spans="1:18" s="38" customFormat="1" x14ac:dyDescent="0.3">
      <c r="A46" s="49"/>
      <c r="B46" s="596"/>
      <c r="C46" s="597"/>
      <c r="D46" s="592"/>
      <c r="E46" s="592"/>
      <c r="F46" s="592"/>
      <c r="G46" s="592"/>
      <c r="H46" s="592"/>
      <c r="I46" s="592"/>
      <c r="J46" s="592"/>
      <c r="K46" s="592"/>
      <c r="L46" s="593"/>
      <c r="O46" s="10"/>
      <c r="P46" s="10"/>
      <c r="Q46" s="15"/>
      <c r="R46" s="15"/>
    </row>
    <row r="47" spans="1:18" s="38" customFormat="1" x14ac:dyDescent="0.3">
      <c r="A47" s="49"/>
      <c r="B47" s="596" t="str">
        <f>IF(Intro!$G$20="English",O47,P47)</f>
        <v>Net delivered selling value</v>
      </c>
      <c r="C47" s="597"/>
      <c r="D47" s="592" t="str">
        <f>IF(Intro!$G$20="English",O48,P48)</f>
        <v>The value of your sales net of all discounts (cash, quantity or deferred), allowances, taxes, rebates and incentives, whether or not shown on the invoice. It includes all delivery costs.</v>
      </c>
      <c r="E47" s="592"/>
      <c r="F47" s="592"/>
      <c r="G47" s="592"/>
      <c r="H47" s="592"/>
      <c r="I47" s="592"/>
      <c r="J47" s="592"/>
      <c r="K47" s="592"/>
      <c r="L47" s="593"/>
      <c r="O47" s="10" t="s">
        <v>182</v>
      </c>
      <c r="P47" s="10" t="s">
        <v>183</v>
      </c>
    </row>
    <row r="48" spans="1:18" x14ac:dyDescent="0.3">
      <c r="B48" s="596"/>
      <c r="C48" s="597"/>
      <c r="D48" s="592"/>
      <c r="E48" s="592"/>
      <c r="F48" s="592"/>
      <c r="G48" s="592"/>
      <c r="H48" s="592"/>
      <c r="I48" s="592"/>
      <c r="J48" s="592"/>
      <c r="K48" s="592"/>
      <c r="L48" s="593"/>
      <c r="O48" s="10" t="s">
        <v>486</v>
      </c>
      <c r="P48" s="9" t="s">
        <v>315</v>
      </c>
    </row>
    <row r="49" spans="1:18" x14ac:dyDescent="0.3">
      <c r="B49" s="598"/>
      <c r="C49" s="599"/>
      <c r="D49" s="594"/>
      <c r="E49" s="594"/>
      <c r="F49" s="594"/>
      <c r="G49" s="594"/>
      <c r="H49" s="594"/>
      <c r="I49" s="594"/>
      <c r="J49" s="594"/>
      <c r="K49" s="594"/>
      <c r="L49" s="595"/>
    </row>
    <row r="50" spans="1:18" s="38" customFormat="1" x14ac:dyDescent="0.3">
      <c r="A50" s="49"/>
      <c r="B50" s="596" t="str">
        <f>IF(Intro!$G$20="English",O50,P50)</f>
        <v>Related firms</v>
      </c>
      <c r="C50" s="597"/>
      <c r="D50" s="541" t="str">
        <f>IF(Intro!$G$20="English",O51,P51)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0" s="541"/>
      <c r="F50" s="541"/>
      <c r="G50" s="541"/>
      <c r="H50" s="541"/>
      <c r="I50" s="541"/>
      <c r="J50" s="541"/>
      <c r="K50" s="541"/>
      <c r="L50" s="602"/>
      <c r="O50" s="10" t="s">
        <v>282</v>
      </c>
      <c r="P50" s="10" t="s">
        <v>283</v>
      </c>
    </row>
    <row r="51" spans="1:18" s="38" customFormat="1" x14ac:dyDescent="0.3">
      <c r="A51" s="49"/>
      <c r="B51" s="596"/>
      <c r="C51" s="597"/>
      <c r="D51" s="541"/>
      <c r="E51" s="541"/>
      <c r="F51" s="541"/>
      <c r="G51" s="541"/>
      <c r="H51" s="541"/>
      <c r="I51" s="541"/>
      <c r="J51" s="541"/>
      <c r="K51" s="541"/>
      <c r="L51" s="602"/>
      <c r="O51" s="10" t="s">
        <v>274</v>
      </c>
      <c r="P51" s="10" t="s">
        <v>275</v>
      </c>
      <c r="Q51" s="10"/>
      <c r="R51" s="10"/>
    </row>
    <row r="52" spans="1:18" s="38" customFormat="1" x14ac:dyDescent="0.3">
      <c r="A52" s="49"/>
      <c r="B52" s="596"/>
      <c r="C52" s="597"/>
      <c r="D52" s="541"/>
      <c r="E52" s="541"/>
      <c r="F52" s="541"/>
      <c r="G52" s="541"/>
      <c r="H52" s="541"/>
      <c r="I52" s="541"/>
      <c r="J52" s="541"/>
      <c r="K52" s="541"/>
      <c r="L52" s="602"/>
      <c r="O52" s="10"/>
      <c r="P52" s="10"/>
      <c r="Q52" s="10"/>
      <c r="R52" s="10"/>
    </row>
    <row r="53" spans="1:18" s="38" customFormat="1" x14ac:dyDescent="0.3">
      <c r="A53" s="49"/>
      <c r="B53" s="605"/>
      <c r="C53" s="606"/>
      <c r="D53" s="603"/>
      <c r="E53" s="603"/>
      <c r="F53" s="603"/>
      <c r="G53" s="603"/>
      <c r="H53" s="603"/>
      <c r="I53" s="603"/>
      <c r="J53" s="603"/>
      <c r="K53" s="603"/>
      <c r="L53" s="604"/>
      <c r="O53" s="10"/>
      <c r="P53" s="10"/>
      <c r="Q53" s="10"/>
      <c r="R53" s="10"/>
    </row>
  </sheetData>
  <sheetProtection algorithmName="SHA-512" hashValue="qK88oH3SxBN3eLsFtZq908ucmtNXHvLNcdKB/or/Vw1N/2j+srnUY0vC9eyCV94IFFw1BUwmnTroUdH62W9odw==" saltValue="n3B+HEKufwGF83fENm8RIQ==" spinCount="100000" sheet="1" objects="1" scenarios="1" selectLockedCells="1"/>
  <mergeCells count="25">
    <mergeCell ref="D32:J34"/>
    <mergeCell ref="B32:C34"/>
    <mergeCell ref="B5:L5"/>
    <mergeCell ref="B4:L4"/>
    <mergeCell ref="B6:L6"/>
    <mergeCell ref="B8:L8"/>
    <mergeCell ref="B10:L10"/>
    <mergeCell ref="B28:C30"/>
    <mergeCell ref="B19:L19"/>
    <mergeCell ref="B21:L21"/>
    <mergeCell ref="B24:L24"/>
    <mergeCell ref="B12:L13"/>
    <mergeCell ref="B15:L16"/>
    <mergeCell ref="B26:L26"/>
    <mergeCell ref="D28:J30"/>
    <mergeCell ref="D50:L53"/>
    <mergeCell ref="B50:C53"/>
    <mergeCell ref="B43:C46"/>
    <mergeCell ref="B40:C42"/>
    <mergeCell ref="D40:L42"/>
    <mergeCell ref="B36:L36"/>
    <mergeCell ref="B39:L39"/>
    <mergeCell ref="D47:L49"/>
    <mergeCell ref="B47:C49"/>
    <mergeCell ref="D43:L4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3"/>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36.44140625" style="10" hidden="1" customWidth="1"/>
    <col min="16" max="16" width="34.44140625" style="10" hidden="1" customWidth="1"/>
    <col min="17" max="17" width="8.44140625" style="10" hidden="1" customWidth="1"/>
    <col min="18" max="19" width="8.44140625" style="10" customWidth="1"/>
    <col min="20" max="16384" width="9.44140625" style="10"/>
  </cols>
  <sheetData>
    <row r="1" spans="1:21" x14ac:dyDescent="0.3">
      <c r="O1" s="10" t="s">
        <v>481</v>
      </c>
      <c r="P1" s="10" t="s">
        <v>481</v>
      </c>
    </row>
    <row r="2" spans="1:21" x14ac:dyDescent="0.3">
      <c r="B2" s="12" t="s">
        <v>66</v>
      </c>
      <c r="C2" s="12"/>
      <c r="O2" s="197" t="s">
        <v>93</v>
      </c>
      <c r="P2" s="197" t="s">
        <v>109</v>
      </c>
    </row>
    <row r="3" spans="1:21" x14ac:dyDescent="0.3">
      <c r="B3" s="13"/>
      <c r="C3" s="13"/>
      <c r="O3" s="2"/>
      <c r="P3" s="2"/>
    </row>
    <row r="4" spans="1:21" s="2" customFormat="1" x14ac:dyDescent="0.3">
      <c r="A4" s="4"/>
      <c r="B4" s="588" t="str">
        <f>Info!B4</f>
        <v>IMPORTERS' QUESTIONNAIRE</v>
      </c>
      <c r="C4" s="589"/>
      <c r="D4" s="589"/>
      <c r="E4" s="589"/>
      <c r="F4" s="589"/>
      <c r="G4" s="589"/>
      <c r="H4" s="589"/>
      <c r="I4" s="589"/>
      <c r="J4" s="589"/>
      <c r="K4" s="589"/>
      <c r="L4" s="590"/>
      <c r="M4" s="5"/>
      <c r="N4" s="5"/>
      <c r="O4" s="19"/>
      <c r="P4" s="19"/>
    </row>
    <row r="5" spans="1:21" s="2" customFormat="1" x14ac:dyDescent="0.3">
      <c r="A5" s="4"/>
      <c r="B5" s="630" t="str">
        <f>Info!B5</f>
        <v>NQ-2026-002</v>
      </c>
      <c r="C5" s="631"/>
      <c r="D5" s="631"/>
      <c r="E5" s="631"/>
      <c r="F5" s="631"/>
      <c r="G5" s="631"/>
      <c r="H5" s="631"/>
      <c r="I5" s="631"/>
      <c r="J5" s="631"/>
      <c r="K5" s="631"/>
      <c r="L5" s="632"/>
      <c r="M5" s="5"/>
      <c r="N5" s="5"/>
      <c r="O5" s="19"/>
      <c r="P5" s="19"/>
    </row>
    <row r="6" spans="1:21" s="6" customFormat="1" x14ac:dyDescent="0.3">
      <c r="A6" s="4"/>
      <c r="B6" s="630" t="str">
        <f>Info!B6</f>
        <v>FORGED GRINDING MEDIA</v>
      </c>
      <c r="C6" s="631"/>
      <c r="D6" s="631"/>
      <c r="E6" s="631"/>
      <c r="F6" s="631"/>
      <c r="G6" s="631"/>
      <c r="H6" s="631"/>
      <c r="I6" s="631"/>
      <c r="J6" s="631"/>
      <c r="K6" s="631"/>
      <c r="L6" s="632"/>
      <c r="M6" s="19"/>
      <c r="N6" s="19"/>
      <c r="O6" s="15"/>
      <c r="P6" s="15"/>
    </row>
    <row r="7" spans="1:21" s="6" customFormat="1" x14ac:dyDescent="0.3">
      <c r="A7" s="4"/>
      <c r="B7" s="161"/>
      <c r="C7" s="162"/>
      <c r="D7" s="162"/>
      <c r="E7" s="162"/>
      <c r="F7" s="162"/>
      <c r="G7" s="162"/>
      <c r="H7" s="162"/>
      <c r="I7" s="162"/>
      <c r="J7" s="162"/>
      <c r="K7" s="162"/>
      <c r="L7" s="163"/>
      <c r="M7" s="19"/>
      <c r="N7" s="19"/>
      <c r="O7" s="20"/>
    </row>
    <row r="8" spans="1:21" s="6" customFormat="1" x14ac:dyDescent="0.3">
      <c r="A8" s="4"/>
      <c r="B8" s="633" t="str">
        <f>IF(Intro!$G$20="English",O8,P8)</f>
        <v>The following questions refer to the goods as defined in the product description on the Intro tab.</v>
      </c>
      <c r="C8" s="634"/>
      <c r="D8" s="634"/>
      <c r="E8" s="634"/>
      <c r="F8" s="634"/>
      <c r="G8" s="634"/>
      <c r="H8" s="634"/>
      <c r="I8" s="634"/>
      <c r="J8" s="634"/>
      <c r="K8" s="634"/>
      <c r="L8" s="635"/>
      <c r="M8" s="19"/>
      <c r="N8" s="19"/>
      <c r="O8" s="15" t="str">
        <f>"The following questions refer to the goods as defined in the product description on the Intro tab."</f>
        <v>The following questions refer to the goods as defined in the product description on the Intro tab.</v>
      </c>
      <c r="P8" s="15"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3">
      <c r="A9" s="4"/>
      <c r="B9" s="633" t="str">
        <f>IF(Intro!$G$20="English",O9,P9)</f>
        <v xml:space="preserve">Product information and a glossary of terms can be found in the Info tab.
</v>
      </c>
      <c r="C9" s="634"/>
      <c r="D9" s="634"/>
      <c r="E9" s="634"/>
      <c r="F9" s="634"/>
      <c r="G9" s="634"/>
      <c r="H9" s="634"/>
      <c r="I9" s="634"/>
      <c r="J9" s="634"/>
      <c r="K9" s="634"/>
      <c r="L9" s="635"/>
      <c r="M9" s="19"/>
      <c r="N9" s="19"/>
      <c r="O9" s="15" t="s">
        <v>119</v>
      </c>
      <c r="P9" s="6" t="s">
        <v>120</v>
      </c>
    </row>
    <row r="10" spans="1:21" s="6" customFormat="1" x14ac:dyDescent="0.3">
      <c r="A10" s="4"/>
      <c r="B10" s="636" t="str">
        <f>IF(Intro!$G$20="English",O10,P10)</f>
        <v xml:space="preserve">Use the AddPub tab if more space is needed.
</v>
      </c>
      <c r="C10" s="637"/>
      <c r="D10" s="637"/>
      <c r="E10" s="637"/>
      <c r="F10" s="637"/>
      <c r="G10" s="637"/>
      <c r="H10" s="637"/>
      <c r="I10" s="637"/>
      <c r="J10" s="637"/>
      <c r="K10" s="637"/>
      <c r="L10" s="638"/>
      <c r="M10" s="19"/>
      <c r="N10" s="19"/>
      <c r="O10" s="15" t="s">
        <v>121</v>
      </c>
      <c r="P10" s="15" t="s">
        <v>122</v>
      </c>
    </row>
    <row r="11" spans="1:21" s="6" customFormat="1" x14ac:dyDescent="0.3">
      <c r="A11" s="4"/>
      <c r="B11" s="14"/>
      <c r="C11" s="14"/>
      <c r="D11" s="3"/>
      <c r="E11" s="3"/>
      <c r="F11" s="3"/>
      <c r="G11" s="3"/>
      <c r="H11" s="3"/>
      <c r="I11" s="3"/>
      <c r="J11" s="3"/>
      <c r="K11" s="3"/>
      <c r="L11" s="3"/>
      <c r="O11" s="15"/>
      <c r="P11" s="15"/>
    </row>
    <row r="12" spans="1:21" x14ac:dyDescent="0.3">
      <c r="B12" s="506" t="str">
        <f>IF(Intro!$G$20="English",O12,P12)</f>
        <v>GENERAL FIRM INFORMATION</v>
      </c>
      <c r="C12" s="507"/>
      <c r="D12" s="507"/>
      <c r="E12" s="507"/>
      <c r="F12" s="507"/>
      <c r="G12" s="507"/>
      <c r="H12" s="507"/>
      <c r="I12" s="507"/>
      <c r="J12" s="507"/>
      <c r="K12" s="507"/>
      <c r="L12" s="508"/>
      <c r="M12" s="38"/>
      <c r="O12" s="109" t="s">
        <v>316</v>
      </c>
      <c r="P12" s="109" t="s">
        <v>317</v>
      </c>
    </row>
    <row r="13" spans="1:21" x14ac:dyDescent="0.3">
      <c r="B13" s="647" t="s">
        <v>12</v>
      </c>
      <c r="C13" s="648"/>
      <c r="D13" s="648"/>
      <c r="E13" s="648"/>
      <c r="F13" s="648"/>
      <c r="G13" s="648"/>
      <c r="H13" s="648"/>
      <c r="I13" s="648"/>
      <c r="J13" s="648"/>
      <c r="K13" s="648"/>
      <c r="L13" s="649"/>
      <c r="M13" s="10"/>
    </row>
    <row r="14" spans="1:21" s="38" customFormat="1" x14ac:dyDescent="0.3">
      <c r="A14" s="49"/>
      <c r="B14" s="53"/>
      <c r="C14" s="151"/>
      <c r="D14" s="151"/>
      <c r="E14" s="151"/>
      <c r="F14" s="151"/>
      <c r="G14" s="151"/>
      <c r="H14" s="151"/>
      <c r="I14" s="151"/>
      <c r="J14" s="151"/>
      <c r="K14" s="151"/>
      <c r="L14" s="54"/>
      <c r="Q14" s="10"/>
      <c r="R14" s="10"/>
      <c r="S14" s="10"/>
      <c r="T14" s="10"/>
      <c r="U14" s="10"/>
    </row>
    <row r="15" spans="1:21" s="38" customFormat="1" x14ac:dyDescent="0.3">
      <c r="A15" s="49"/>
      <c r="B15" s="645" t="str">
        <f>IF(Intro!$G$20="English",O15,P15)</f>
        <v>Select your firm's primary activities with respect to the goods between January 1, 2023 and March 31, 2026 (select only one response):</v>
      </c>
      <c r="C15" s="646"/>
      <c r="D15" s="646"/>
      <c r="E15" s="646"/>
      <c r="F15" s="646"/>
      <c r="G15" s="646"/>
      <c r="H15" s="646"/>
      <c r="I15" s="646"/>
      <c r="J15" s="646"/>
      <c r="K15" s="646"/>
      <c r="L15" s="555"/>
      <c r="O15" s="38" t="str">
        <f>"Select your firm's primary activities with respect to the goods between January 1, "&amp;Variables!B6&amp;" and "&amp;Variables!B7&amp;", "&amp;Variables!B8&amp;" (select only one response):"</f>
        <v>Select your firm's primary activities with respect to the goods between January 1, 2023 and March 31, 2026 (select only one response):</v>
      </c>
      <c r="P15" s="38"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10"/>
      <c r="R15" s="10"/>
      <c r="S15" s="10"/>
      <c r="T15" s="10"/>
      <c r="U15" s="10"/>
    </row>
    <row r="16" spans="1:21" s="38" customFormat="1" ht="14.1" customHeight="1" x14ac:dyDescent="0.3">
      <c r="A16" s="49"/>
      <c r="B16" s="74"/>
      <c r="C16" s="244"/>
      <c r="D16" s="244"/>
      <c r="E16" s="244"/>
      <c r="F16" s="244"/>
      <c r="G16" s="244"/>
      <c r="H16" s="244"/>
      <c r="I16" s="244"/>
      <c r="J16" s="244"/>
      <c r="K16" s="244"/>
      <c r="L16" s="245"/>
      <c r="P16" s="250"/>
      <c r="R16" s="10"/>
      <c r="S16" s="10"/>
      <c r="T16" s="10"/>
      <c r="U16" s="10"/>
    </row>
    <row r="17" spans="1:21" s="38" customFormat="1" x14ac:dyDescent="0.3">
      <c r="A17" s="49"/>
      <c r="B17" s="628" t="str">
        <f>IF(Intro!$G$20="English",O17,P17)</f>
        <v>Your firm sold the goods, without modification, to members of the public (i.e. a retailer)?</v>
      </c>
      <c r="C17" s="629"/>
      <c r="D17" s="629"/>
      <c r="E17" s="629"/>
      <c r="F17" s="629"/>
      <c r="G17" s="629"/>
      <c r="H17" s="629"/>
      <c r="I17" s="629"/>
      <c r="J17" s="629"/>
      <c r="K17" s="251"/>
      <c r="L17" s="245"/>
      <c r="O17" s="250" t="s">
        <v>520</v>
      </c>
      <c r="P17" s="250" t="s">
        <v>523</v>
      </c>
      <c r="R17" s="10"/>
      <c r="S17" s="10"/>
      <c r="T17" s="10"/>
      <c r="U17" s="10"/>
    </row>
    <row r="18" spans="1:21" s="38" customFormat="1" x14ac:dyDescent="0.3">
      <c r="A18" s="49"/>
      <c r="B18" s="628" t="str">
        <f>IF(Intro!$G$20="English",O18,P18)</f>
        <v>Your firm sold the goods, without modification, to other businesses (i.e. a distributor of the goods)?</v>
      </c>
      <c r="C18" s="629"/>
      <c r="D18" s="629"/>
      <c r="E18" s="629"/>
      <c r="F18" s="629"/>
      <c r="G18" s="629"/>
      <c r="H18" s="629"/>
      <c r="I18" s="629"/>
      <c r="J18" s="629"/>
      <c r="K18" s="251"/>
      <c r="L18" s="245"/>
      <c r="O18" s="250" t="s">
        <v>521</v>
      </c>
      <c r="P18" s="250" t="s">
        <v>524</v>
      </c>
      <c r="R18" s="10"/>
      <c r="S18" s="10"/>
      <c r="T18" s="10"/>
      <c r="U18" s="10"/>
    </row>
    <row r="19" spans="1:21" ht="14.1" customHeight="1" x14ac:dyDescent="0.3">
      <c r="B19" s="664" t="str">
        <f>IF(Intro!$G$20="English",O19,P19)</f>
        <v>Your firm used the goods in the production of a different product which you then sold (i.e. an end user of the goods)?</v>
      </c>
      <c r="C19" s="665"/>
      <c r="D19" s="665"/>
      <c r="E19" s="665"/>
      <c r="F19" s="665"/>
      <c r="G19" s="665"/>
      <c r="H19" s="665"/>
      <c r="I19" s="665"/>
      <c r="J19" s="666"/>
      <c r="K19" s="498"/>
      <c r="L19" s="245"/>
      <c r="M19" s="10"/>
      <c r="O19" s="250" t="s">
        <v>525</v>
      </c>
      <c r="P19" s="250" t="s">
        <v>526</v>
      </c>
    </row>
    <row r="20" spans="1:21" ht="14.1" customHeight="1" x14ac:dyDescent="0.3">
      <c r="B20" s="667"/>
      <c r="C20" s="668"/>
      <c r="D20" s="668"/>
      <c r="E20" s="668"/>
      <c r="F20" s="668"/>
      <c r="G20" s="668"/>
      <c r="H20" s="668"/>
      <c r="I20" s="668"/>
      <c r="J20" s="669"/>
      <c r="K20" s="499"/>
      <c r="L20" s="249"/>
      <c r="M20" s="10"/>
      <c r="O20" s="250"/>
      <c r="P20" s="250"/>
    </row>
    <row r="21" spans="1:21" ht="14.1" customHeight="1" x14ac:dyDescent="0.3">
      <c r="B21" s="628" t="str">
        <f>IF(Intro!$G$20="English",O21,P21)</f>
        <v>Your firm used the goods for its own purposes and the goods were not sold in any capacity (i.e. an end user of the goods)?</v>
      </c>
      <c r="C21" s="629"/>
      <c r="D21" s="629"/>
      <c r="E21" s="629"/>
      <c r="F21" s="629"/>
      <c r="G21" s="629"/>
      <c r="H21" s="629"/>
      <c r="I21" s="629"/>
      <c r="J21" s="629"/>
      <c r="K21" s="498"/>
      <c r="L21" s="245"/>
      <c r="M21" s="10"/>
      <c r="O21" s="250" t="s">
        <v>522</v>
      </c>
      <c r="P21" s="250" t="s">
        <v>527</v>
      </c>
    </row>
    <row r="22" spans="1:21" ht="14.1" customHeight="1" x14ac:dyDescent="0.3">
      <c r="B22" s="628"/>
      <c r="C22" s="629"/>
      <c r="D22" s="629"/>
      <c r="E22" s="629"/>
      <c r="F22" s="629"/>
      <c r="G22" s="629"/>
      <c r="H22" s="629"/>
      <c r="I22" s="629"/>
      <c r="J22" s="629"/>
      <c r="K22" s="499"/>
      <c r="L22" s="245"/>
      <c r="M22" s="10"/>
      <c r="O22" s="250"/>
      <c r="P22" s="250"/>
    </row>
    <row r="23" spans="1:21" s="38" customFormat="1" x14ac:dyDescent="0.3">
      <c r="A23" s="49"/>
      <c r="B23" s="50"/>
      <c r="C23" s="51"/>
      <c r="D23" s="51"/>
      <c r="E23" s="51"/>
      <c r="F23" s="51"/>
      <c r="G23" s="51"/>
      <c r="H23" s="51"/>
      <c r="I23" s="51"/>
      <c r="J23" s="51"/>
      <c r="K23" s="51"/>
      <c r="L23" s="52"/>
      <c r="N23" s="10"/>
      <c r="O23" s="10"/>
      <c r="P23" s="10"/>
      <c r="T23" s="10"/>
      <c r="U23" s="10"/>
    </row>
    <row r="24" spans="1:21" x14ac:dyDescent="0.3">
      <c r="B24" s="650" t="s">
        <v>15</v>
      </c>
      <c r="C24" s="651"/>
      <c r="D24" s="651"/>
      <c r="E24" s="651"/>
      <c r="F24" s="651"/>
      <c r="G24" s="651"/>
      <c r="H24" s="651"/>
      <c r="I24" s="651"/>
      <c r="J24" s="651"/>
      <c r="K24" s="651"/>
      <c r="L24" s="652"/>
      <c r="M24" s="10"/>
      <c r="P24" s="38"/>
    </row>
    <row r="25" spans="1:21" x14ac:dyDescent="0.3">
      <c r="B25" s="16"/>
      <c r="C25" s="35"/>
      <c r="D25" s="36"/>
      <c r="E25" s="36"/>
      <c r="F25" s="36"/>
      <c r="G25" s="36"/>
      <c r="H25" s="36"/>
      <c r="I25" s="36"/>
      <c r="J25" s="36"/>
      <c r="K25" s="36"/>
      <c r="L25" s="17"/>
      <c r="M25" s="10"/>
    </row>
    <row r="26" spans="1:21" x14ac:dyDescent="0.3">
      <c r="B26" s="503" t="str">
        <f>IF(Intro!$G$20="English",O26,P26)</f>
        <v>Provide a brief history of your firm, with particular emphasis on activities regarding the goods.</v>
      </c>
      <c r="C26" s="504"/>
      <c r="D26" s="504"/>
      <c r="E26" s="504"/>
      <c r="F26" s="504"/>
      <c r="G26" s="504"/>
      <c r="H26" s="504"/>
      <c r="I26" s="504"/>
      <c r="J26" s="504"/>
      <c r="K26" s="504"/>
      <c r="L26" s="505"/>
      <c r="M26" s="10"/>
      <c r="O26" s="18" t="s">
        <v>74</v>
      </c>
      <c r="P26" s="10" t="s">
        <v>75</v>
      </c>
    </row>
    <row r="27" spans="1:21" s="38" customFormat="1" x14ac:dyDescent="0.3">
      <c r="A27" s="49"/>
      <c r="B27" s="53"/>
      <c r="C27" s="94"/>
      <c r="D27" s="94"/>
      <c r="E27" s="94"/>
      <c r="F27" s="94"/>
      <c r="G27" s="94"/>
      <c r="H27" s="94"/>
      <c r="I27" s="94"/>
      <c r="J27" s="94"/>
      <c r="K27" s="94"/>
      <c r="L27" s="54"/>
      <c r="O27" s="10"/>
      <c r="P27" s="10"/>
      <c r="Q27" s="10"/>
      <c r="R27" s="10"/>
      <c r="S27" s="10"/>
      <c r="T27" s="10"/>
      <c r="U27" s="10"/>
    </row>
    <row r="28" spans="1:21" s="11" customFormat="1" x14ac:dyDescent="0.3">
      <c r="A28" s="8"/>
      <c r="B28" s="639"/>
      <c r="C28" s="640"/>
      <c r="D28" s="640"/>
      <c r="E28" s="640"/>
      <c r="F28" s="640"/>
      <c r="G28" s="640"/>
      <c r="H28" s="640"/>
      <c r="I28" s="640"/>
      <c r="J28" s="640"/>
      <c r="K28" s="640"/>
      <c r="L28" s="641"/>
      <c r="M28" s="38"/>
      <c r="Q28" s="10"/>
    </row>
    <row r="29" spans="1:21" s="11" customFormat="1" x14ac:dyDescent="0.3">
      <c r="A29" s="8"/>
      <c r="B29" s="639"/>
      <c r="C29" s="640"/>
      <c r="D29" s="640"/>
      <c r="E29" s="640"/>
      <c r="F29" s="640"/>
      <c r="G29" s="640"/>
      <c r="H29" s="640"/>
      <c r="I29" s="640"/>
      <c r="J29" s="640"/>
      <c r="K29" s="640"/>
      <c r="L29" s="641"/>
      <c r="M29" s="38"/>
      <c r="Q29" s="10"/>
    </row>
    <row r="30" spans="1:21" s="11" customFormat="1" x14ac:dyDescent="0.3">
      <c r="A30" s="8"/>
      <c r="B30" s="639"/>
      <c r="C30" s="640"/>
      <c r="D30" s="640"/>
      <c r="E30" s="640"/>
      <c r="F30" s="640"/>
      <c r="G30" s="640"/>
      <c r="H30" s="640"/>
      <c r="I30" s="640"/>
      <c r="J30" s="640"/>
      <c r="K30" s="640"/>
      <c r="L30" s="641"/>
      <c r="M30" s="38"/>
      <c r="Q30" s="10"/>
    </row>
    <row r="31" spans="1:21" s="11" customFormat="1" x14ac:dyDescent="0.3">
      <c r="A31" s="8"/>
      <c r="B31" s="639"/>
      <c r="C31" s="640"/>
      <c r="D31" s="640"/>
      <c r="E31" s="640"/>
      <c r="F31" s="640"/>
      <c r="G31" s="640"/>
      <c r="H31" s="640"/>
      <c r="I31" s="640"/>
      <c r="J31" s="640"/>
      <c r="K31" s="640"/>
      <c r="L31" s="641"/>
      <c r="M31" s="38"/>
      <c r="Q31" s="10"/>
    </row>
    <row r="32" spans="1:21" s="11" customFormat="1" x14ac:dyDescent="0.3">
      <c r="A32" s="8"/>
      <c r="B32" s="639"/>
      <c r="C32" s="640"/>
      <c r="D32" s="640"/>
      <c r="E32" s="640"/>
      <c r="F32" s="640"/>
      <c r="G32" s="640"/>
      <c r="H32" s="640"/>
      <c r="I32" s="640"/>
      <c r="J32" s="640"/>
      <c r="K32" s="640"/>
      <c r="L32" s="641"/>
      <c r="M32" s="38"/>
      <c r="Q32" s="10"/>
    </row>
    <row r="33" spans="1:21" s="11" customFormat="1" x14ac:dyDescent="0.3">
      <c r="A33" s="8"/>
      <c r="B33" s="639"/>
      <c r="C33" s="640"/>
      <c r="D33" s="640"/>
      <c r="E33" s="640"/>
      <c r="F33" s="640"/>
      <c r="G33" s="640"/>
      <c r="H33" s="640"/>
      <c r="I33" s="640"/>
      <c r="J33" s="640"/>
      <c r="K33" s="640"/>
      <c r="L33" s="641"/>
      <c r="M33" s="38"/>
      <c r="Q33" s="10"/>
    </row>
    <row r="34" spans="1:21" s="11" customFormat="1" x14ac:dyDescent="0.3">
      <c r="A34" s="8"/>
      <c r="B34" s="639"/>
      <c r="C34" s="640"/>
      <c r="D34" s="640"/>
      <c r="E34" s="640"/>
      <c r="F34" s="640"/>
      <c r="G34" s="640"/>
      <c r="H34" s="640"/>
      <c r="I34" s="640"/>
      <c r="J34" s="640"/>
      <c r="K34" s="640"/>
      <c r="L34" s="641"/>
      <c r="M34" s="38"/>
      <c r="Q34" s="10"/>
    </row>
    <row r="35" spans="1:21" s="11" customFormat="1" x14ac:dyDescent="0.3">
      <c r="A35" s="8"/>
      <c r="B35" s="639"/>
      <c r="C35" s="640"/>
      <c r="D35" s="640"/>
      <c r="E35" s="640"/>
      <c r="F35" s="640"/>
      <c r="G35" s="640"/>
      <c r="H35" s="640"/>
      <c r="I35" s="640"/>
      <c r="J35" s="640"/>
      <c r="K35" s="640"/>
      <c r="L35" s="641"/>
      <c r="M35" s="38"/>
      <c r="Q35" s="10"/>
    </row>
    <row r="36" spans="1:21" s="38" customFormat="1" x14ac:dyDescent="0.3">
      <c r="A36" s="49"/>
      <c r="B36" s="50"/>
      <c r="C36" s="51"/>
      <c r="D36" s="51"/>
      <c r="E36" s="51"/>
      <c r="F36" s="51"/>
      <c r="G36" s="51"/>
      <c r="H36" s="51"/>
      <c r="I36" s="51"/>
      <c r="J36" s="51"/>
      <c r="K36" s="51"/>
      <c r="L36" s="52"/>
      <c r="O36" s="10"/>
      <c r="P36" s="10"/>
      <c r="Q36" s="10"/>
      <c r="R36" s="10"/>
      <c r="S36" s="10"/>
      <c r="T36" s="10"/>
      <c r="U36" s="10"/>
    </row>
    <row r="37" spans="1:21" s="11" customFormat="1" x14ac:dyDescent="0.3">
      <c r="A37" s="8"/>
      <c r="B37" s="650" t="s">
        <v>16</v>
      </c>
      <c r="C37" s="651"/>
      <c r="D37" s="651"/>
      <c r="E37" s="651"/>
      <c r="F37" s="651"/>
      <c r="G37" s="651"/>
      <c r="H37" s="651"/>
      <c r="I37" s="651"/>
      <c r="J37" s="651"/>
      <c r="K37" s="651"/>
      <c r="L37" s="652"/>
      <c r="M37" s="73"/>
    </row>
    <row r="38" spans="1:21" s="38" customFormat="1" x14ac:dyDescent="0.3">
      <c r="A38" s="49"/>
      <c r="B38" s="53"/>
      <c r="C38" s="94"/>
      <c r="D38" s="94"/>
      <c r="E38" s="94"/>
      <c r="F38" s="94"/>
      <c r="G38" s="94"/>
      <c r="H38" s="94"/>
      <c r="I38" s="94"/>
      <c r="J38" s="94"/>
      <c r="K38" s="94"/>
      <c r="L38" s="54"/>
      <c r="O38" s="10"/>
      <c r="P38" s="10"/>
      <c r="Q38" s="10"/>
      <c r="R38" s="10"/>
      <c r="S38" s="10"/>
      <c r="T38" s="10"/>
      <c r="U38" s="10"/>
    </row>
    <row r="39" spans="1:21" s="38" customFormat="1" x14ac:dyDescent="0.3">
      <c r="A39" s="49"/>
      <c r="B39" s="500" t="str">
        <f>IF(Intro!$G$20="English",O39,P39)</f>
        <v>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v>
      </c>
      <c r="C39" s="501"/>
      <c r="D39" s="501"/>
      <c r="E39" s="501"/>
      <c r="F39" s="501"/>
      <c r="G39" s="501"/>
      <c r="H39" s="501"/>
      <c r="I39" s="501"/>
      <c r="J39" s="501"/>
      <c r="K39" s="501"/>
      <c r="L39" s="502"/>
      <c r="O39" s="10" t="s">
        <v>280</v>
      </c>
      <c r="P39" s="10" t="s">
        <v>281</v>
      </c>
      <c r="Q39" s="10"/>
      <c r="R39" s="10"/>
      <c r="S39" s="10"/>
      <c r="T39" s="10"/>
      <c r="U39" s="10"/>
    </row>
    <row r="40" spans="1:21" s="38" customFormat="1" x14ac:dyDescent="0.3">
      <c r="A40" s="49"/>
      <c r="B40" s="500"/>
      <c r="C40" s="501"/>
      <c r="D40" s="501"/>
      <c r="E40" s="501"/>
      <c r="F40" s="501"/>
      <c r="G40" s="501"/>
      <c r="H40" s="501"/>
      <c r="I40" s="501"/>
      <c r="J40" s="501"/>
      <c r="K40" s="501"/>
      <c r="L40" s="502"/>
      <c r="O40" s="10"/>
      <c r="P40" s="10"/>
      <c r="Q40" s="10"/>
      <c r="R40" s="10"/>
      <c r="S40" s="10"/>
      <c r="T40" s="10"/>
      <c r="U40" s="10"/>
    </row>
    <row r="41" spans="1:21" s="38" customFormat="1" x14ac:dyDescent="0.3">
      <c r="A41" s="49"/>
      <c r="B41" s="500"/>
      <c r="C41" s="501"/>
      <c r="D41" s="501"/>
      <c r="E41" s="501"/>
      <c r="F41" s="501"/>
      <c r="G41" s="501"/>
      <c r="H41" s="501"/>
      <c r="I41" s="501"/>
      <c r="J41" s="501"/>
      <c r="K41" s="501"/>
      <c r="L41" s="502"/>
      <c r="O41" s="10"/>
      <c r="P41" s="10"/>
      <c r="Q41" s="10"/>
      <c r="R41" s="10"/>
      <c r="S41" s="10"/>
      <c r="T41" s="10"/>
      <c r="U41" s="10"/>
    </row>
    <row r="42" spans="1:21" s="38" customFormat="1" x14ac:dyDescent="0.3">
      <c r="A42" s="49"/>
      <c r="B42" s="53"/>
      <c r="C42" s="94"/>
      <c r="D42" s="94"/>
      <c r="E42" s="94"/>
      <c r="F42" s="94"/>
      <c r="G42" s="94"/>
      <c r="H42" s="94"/>
      <c r="I42" s="94"/>
      <c r="J42" s="94"/>
      <c r="K42" s="94"/>
      <c r="L42" s="54"/>
      <c r="O42" s="10"/>
      <c r="P42" s="10"/>
      <c r="Q42" s="10"/>
      <c r="R42" s="10"/>
      <c r="S42" s="10"/>
      <c r="T42" s="10"/>
      <c r="U42" s="10"/>
    </row>
    <row r="43" spans="1:21" x14ac:dyDescent="0.3">
      <c r="B43" s="643"/>
      <c r="C43" s="662" t="str">
        <f>IF(Intro!$G$20="English",O43,P43)</f>
        <v>Firm Name</v>
      </c>
      <c r="D43" s="662"/>
      <c r="E43" s="662" t="str">
        <f>IF(Intro!$G$20="English",O44,P44)</f>
        <v>Firm Address</v>
      </c>
      <c r="F43" s="662"/>
      <c r="G43" s="662" t="str">
        <f>IF(Intro!$G$20="English",O45,P45)</f>
        <v>Nature of association</v>
      </c>
      <c r="H43" s="662"/>
      <c r="I43" s="662"/>
      <c r="J43" s="662" t="str">
        <f>IF(Intro!$G$20="English",O46,P46)</f>
        <v>Role in the Industry</v>
      </c>
      <c r="K43" s="662"/>
      <c r="L43" s="663"/>
      <c r="M43" s="10"/>
      <c r="O43" s="10" t="s">
        <v>1</v>
      </c>
      <c r="P43" s="10" t="s">
        <v>13</v>
      </c>
    </row>
    <row r="44" spans="1:21" x14ac:dyDescent="0.3">
      <c r="B44" s="643"/>
      <c r="C44" s="662"/>
      <c r="D44" s="662"/>
      <c r="E44" s="662"/>
      <c r="F44" s="662"/>
      <c r="G44" s="662"/>
      <c r="H44" s="662"/>
      <c r="I44" s="662"/>
      <c r="J44" s="662"/>
      <c r="K44" s="662"/>
      <c r="L44" s="663"/>
      <c r="M44" s="10"/>
      <c r="O44" s="10" t="s">
        <v>2</v>
      </c>
      <c r="P44" s="10" t="s">
        <v>3</v>
      </c>
    </row>
    <row r="45" spans="1:21" x14ac:dyDescent="0.3">
      <c r="B45" s="642">
        <v>1</v>
      </c>
      <c r="C45" s="644"/>
      <c r="D45" s="562"/>
      <c r="E45" s="562"/>
      <c r="F45" s="562"/>
      <c r="G45" s="562"/>
      <c r="H45" s="562"/>
      <c r="I45" s="562"/>
      <c r="J45" s="562"/>
      <c r="K45" s="562"/>
      <c r="L45" s="563"/>
      <c r="M45" s="10"/>
      <c r="O45" s="10" t="s">
        <v>207</v>
      </c>
      <c r="P45" s="10" t="s">
        <v>248</v>
      </c>
    </row>
    <row r="46" spans="1:21" x14ac:dyDescent="0.3">
      <c r="B46" s="642"/>
      <c r="C46" s="644"/>
      <c r="D46" s="562"/>
      <c r="E46" s="564"/>
      <c r="F46" s="564"/>
      <c r="G46" s="564"/>
      <c r="H46" s="564"/>
      <c r="I46" s="564"/>
      <c r="J46" s="564"/>
      <c r="K46" s="564"/>
      <c r="L46" s="565"/>
      <c r="M46" s="10"/>
      <c r="O46" s="10" t="s">
        <v>14</v>
      </c>
      <c r="P46" s="10" t="s">
        <v>64</v>
      </c>
    </row>
    <row r="47" spans="1:21" x14ac:dyDescent="0.3">
      <c r="B47" s="642">
        <v>2</v>
      </c>
      <c r="C47" s="644"/>
      <c r="D47" s="562"/>
      <c r="E47" s="562"/>
      <c r="F47" s="562"/>
      <c r="G47" s="562"/>
      <c r="H47" s="562"/>
      <c r="I47" s="562"/>
      <c r="J47" s="562"/>
      <c r="K47" s="562"/>
      <c r="L47" s="563"/>
      <c r="M47" s="10"/>
    </row>
    <row r="48" spans="1:21" x14ac:dyDescent="0.3">
      <c r="B48" s="642"/>
      <c r="C48" s="644"/>
      <c r="D48" s="562"/>
      <c r="E48" s="564"/>
      <c r="F48" s="564"/>
      <c r="G48" s="564"/>
      <c r="H48" s="564"/>
      <c r="I48" s="564"/>
      <c r="J48" s="564"/>
      <c r="K48" s="564"/>
      <c r="L48" s="565"/>
      <c r="M48" s="10"/>
    </row>
    <row r="49" spans="2:13" x14ac:dyDescent="0.3">
      <c r="B49" s="642">
        <v>3</v>
      </c>
      <c r="C49" s="644"/>
      <c r="D49" s="562"/>
      <c r="E49" s="562"/>
      <c r="F49" s="562"/>
      <c r="G49" s="562"/>
      <c r="H49" s="562"/>
      <c r="I49" s="562"/>
      <c r="J49" s="562"/>
      <c r="K49" s="562"/>
      <c r="L49" s="563"/>
      <c r="M49" s="10"/>
    </row>
    <row r="50" spans="2:13" x14ac:dyDescent="0.3">
      <c r="B50" s="642"/>
      <c r="C50" s="644"/>
      <c r="D50" s="562"/>
      <c r="E50" s="564"/>
      <c r="F50" s="564"/>
      <c r="G50" s="564"/>
      <c r="H50" s="564"/>
      <c r="I50" s="564"/>
      <c r="J50" s="564"/>
      <c r="K50" s="564"/>
      <c r="L50" s="565"/>
      <c r="M50" s="10"/>
    </row>
    <row r="51" spans="2:13" x14ac:dyDescent="0.3">
      <c r="B51" s="642">
        <v>4</v>
      </c>
      <c r="C51" s="644"/>
      <c r="D51" s="562"/>
      <c r="E51" s="562"/>
      <c r="F51" s="562"/>
      <c r="G51" s="562"/>
      <c r="H51" s="562"/>
      <c r="I51" s="562"/>
      <c r="J51" s="562"/>
      <c r="K51" s="562"/>
      <c r="L51" s="563"/>
      <c r="M51" s="10"/>
    </row>
    <row r="52" spans="2:13" x14ac:dyDescent="0.3">
      <c r="B52" s="642"/>
      <c r="C52" s="644"/>
      <c r="D52" s="562"/>
      <c r="E52" s="564"/>
      <c r="F52" s="564"/>
      <c r="G52" s="564"/>
      <c r="H52" s="564"/>
      <c r="I52" s="564"/>
      <c r="J52" s="564"/>
      <c r="K52" s="564"/>
      <c r="L52" s="565"/>
      <c r="M52" s="10"/>
    </row>
    <row r="53" spans="2:13" x14ac:dyDescent="0.3">
      <c r="B53" s="642">
        <v>5</v>
      </c>
      <c r="C53" s="644"/>
      <c r="D53" s="562"/>
      <c r="E53" s="562"/>
      <c r="F53" s="562"/>
      <c r="G53" s="562"/>
      <c r="H53" s="562"/>
      <c r="I53" s="562"/>
      <c r="J53" s="562"/>
      <c r="K53" s="562"/>
      <c r="L53" s="563"/>
      <c r="M53" s="10"/>
    </row>
    <row r="54" spans="2:13" x14ac:dyDescent="0.3">
      <c r="B54" s="642"/>
      <c r="C54" s="644"/>
      <c r="D54" s="562"/>
      <c r="E54" s="564"/>
      <c r="F54" s="564"/>
      <c r="G54" s="564"/>
      <c r="H54" s="564"/>
      <c r="I54" s="564"/>
      <c r="J54" s="564"/>
      <c r="K54" s="564"/>
      <c r="L54" s="565"/>
      <c r="M54" s="10"/>
    </row>
    <row r="55" spans="2:13" x14ac:dyDescent="0.3">
      <c r="B55" s="642">
        <v>6</v>
      </c>
      <c r="C55" s="644"/>
      <c r="D55" s="562"/>
      <c r="E55" s="562"/>
      <c r="F55" s="562"/>
      <c r="G55" s="562"/>
      <c r="H55" s="562"/>
      <c r="I55" s="562"/>
      <c r="J55" s="562"/>
      <c r="K55" s="562"/>
      <c r="L55" s="563"/>
      <c r="M55" s="10"/>
    </row>
    <row r="56" spans="2:13" x14ac:dyDescent="0.3">
      <c r="B56" s="642"/>
      <c r="C56" s="644"/>
      <c r="D56" s="562"/>
      <c r="E56" s="564"/>
      <c r="F56" s="564"/>
      <c r="G56" s="564"/>
      <c r="H56" s="564"/>
      <c r="I56" s="564"/>
      <c r="J56" s="564"/>
      <c r="K56" s="564"/>
      <c r="L56" s="565"/>
      <c r="M56" s="10"/>
    </row>
    <row r="57" spans="2:13" x14ac:dyDescent="0.3">
      <c r="B57" s="642">
        <v>7</v>
      </c>
      <c r="C57" s="644"/>
      <c r="D57" s="562"/>
      <c r="E57" s="562"/>
      <c r="F57" s="562"/>
      <c r="G57" s="562"/>
      <c r="H57" s="562"/>
      <c r="I57" s="562"/>
      <c r="J57" s="562"/>
      <c r="K57" s="562"/>
      <c r="L57" s="563"/>
      <c r="M57" s="10"/>
    </row>
    <row r="58" spans="2:13" x14ac:dyDescent="0.3">
      <c r="B58" s="642"/>
      <c r="C58" s="644"/>
      <c r="D58" s="562"/>
      <c r="E58" s="564"/>
      <c r="F58" s="564"/>
      <c r="G58" s="564"/>
      <c r="H58" s="564"/>
      <c r="I58" s="564"/>
      <c r="J58" s="564"/>
      <c r="K58" s="564"/>
      <c r="L58" s="565"/>
      <c r="M58" s="10"/>
    </row>
    <row r="59" spans="2:13" x14ac:dyDescent="0.3">
      <c r="B59" s="642">
        <v>8</v>
      </c>
      <c r="C59" s="644"/>
      <c r="D59" s="562"/>
      <c r="E59" s="562"/>
      <c r="F59" s="562"/>
      <c r="G59" s="562"/>
      <c r="H59" s="562"/>
      <c r="I59" s="562"/>
      <c r="J59" s="562"/>
      <c r="K59" s="562"/>
      <c r="L59" s="563"/>
      <c r="M59" s="10"/>
    </row>
    <row r="60" spans="2:13" x14ac:dyDescent="0.3">
      <c r="B60" s="642"/>
      <c r="C60" s="644"/>
      <c r="D60" s="562"/>
      <c r="E60" s="564"/>
      <c r="F60" s="564"/>
      <c r="G60" s="564"/>
      <c r="H60" s="564"/>
      <c r="I60" s="564"/>
      <c r="J60" s="564"/>
      <c r="K60" s="564"/>
      <c r="L60" s="565"/>
      <c r="M60" s="10"/>
    </row>
    <row r="61" spans="2:13" x14ac:dyDescent="0.3">
      <c r="B61" s="642">
        <v>9</v>
      </c>
      <c r="C61" s="644"/>
      <c r="D61" s="562"/>
      <c r="E61" s="562"/>
      <c r="F61" s="562"/>
      <c r="G61" s="562"/>
      <c r="H61" s="562"/>
      <c r="I61" s="562"/>
      <c r="J61" s="562"/>
      <c r="K61" s="562"/>
      <c r="L61" s="563"/>
      <c r="M61" s="10"/>
    </row>
    <row r="62" spans="2:13" x14ac:dyDescent="0.3">
      <c r="B62" s="642"/>
      <c r="C62" s="644"/>
      <c r="D62" s="562"/>
      <c r="E62" s="564"/>
      <c r="F62" s="564"/>
      <c r="G62" s="564"/>
      <c r="H62" s="564"/>
      <c r="I62" s="564"/>
      <c r="J62" s="564"/>
      <c r="K62" s="564"/>
      <c r="L62" s="565"/>
      <c r="M62" s="10"/>
    </row>
    <row r="63" spans="2:13" x14ac:dyDescent="0.3">
      <c r="B63" s="642">
        <v>10</v>
      </c>
      <c r="C63" s="644"/>
      <c r="D63" s="562"/>
      <c r="E63" s="562"/>
      <c r="F63" s="562"/>
      <c r="G63" s="562"/>
      <c r="H63" s="562"/>
      <c r="I63" s="562"/>
      <c r="J63" s="562"/>
      <c r="K63" s="562"/>
      <c r="L63" s="563"/>
      <c r="M63" s="10"/>
    </row>
    <row r="64" spans="2:13" x14ac:dyDescent="0.3">
      <c r="B64" s="642"/>
      <c r="C64" s="644"/>
      <c r="D64" s="562"/>
      <c r="E64" s="564"/>
      <c r="F64" s="564"/>
      <c r="G64" s="564"/>
      <c r="H64" s="564"/>
      <c r="I64" s="564"/>
      <c r="J64" s="564"/>
      <c r="K64" s="564"/>
      <c r="L64" s="565"/>
      <c r="M64" s="10"/>
    </row>
    <row r="65" spans="1:21" s="38" customFormat="1" x14ac:dyDescent="0.3">
      <c r="A65" s="49"/>
      <c r="B65" s="50"/>
      <c r="C65" s="51"/>
      <c r="D65" s="51"/>
      <c r="E65" s="51"/>
      <c r="F65" s="51"/>
      <c r="G65" s="51"/>
      <c r="H65" s="51"/>
      <c r="I65" s="51"/>
      <c r="J65" s="51"/>
      <c r="K65" s="51"/>
      <c r="L65" s="52"/>
      <c r="O65" s="10"/>
      <c r="P65" s="10"/>
      <c r="Q65" s="10"/>
      <c r="R65" s="10"/>
      <c r="S65" s="10"/>
      <c r="T65" s="10"/>
      <c r="U65" s="10"/>
    </row>
    <row r="66" spans="1:21" s="11" customFormat="1" x14ac:dyDescent="0.3">
      <c r="A66" s="7"/>
      <c r="B66" s="650" t="s">
        <v>17</v>
      </c>
      <c r="C66" s="651"/>
      <c r="D66" s="651"/>
      <c r="E66" s="651"/>
      <c r="F66" s="651"/>
      <c r="G66" s="651"/>
      <c r="H66" s="651"/>
      <c r="I66" s="651"/>
      <c r="J66" s="651"/>
      <c r="K66" s="651"/>
      <c r="L66" s="652"/>
      <c r="M66" s="73"/>
    </row>
    <row r="67" spans="1:21" s="38" customFormat="1" x14ac:dyDescent="0.3">
      <c r="A67" s="49"/>
      <c r="B67" s="53"/>
      <c r="C67" s="94"/>
      <c r="D67" s="94"/>
      <c r="E67" s="94"/>
      <c r="F67" s="94"/>
      <c r="G67" s="94"/>
      <c r="H67" s="94"/>
      <c r="I67" s="94"/>
      <c r="J67" s="94"/>
      <c r="K67" s="94"/>
      <c r="L67" s="54"/>
      <c r="O67" s="10"/>
      <c r="P67" s="10"/>
      <c r="Q67" s="10"/>
      <c r="R67" s="10"/>
      <c r="S67" s="10"/>
      <c r="T67" s="10"/>
      <c r="U67" s="10"/>
    </row>
    <row r="68" spans="1:21" s="38" customFormat="1" x14ac:dyDescent="0.3">
      <c r="A68" s="49"/>
      <c r="B68" s="503" t="str">
        <f>IF(Intro!$G$20="English",O68,P68)</f>
        <v>Provide details of any change of majority ownership of your firm since January 1, 2023.</v>
      </c>
      <c r="C68" s="504"/>
      <c r="D68" s="504"/>
      <c r="E68" s="504"/>
      <c r="F68" s="504"/>
      <c r="G68" s="504"/>
      <c r="H68" s="504"/>
      <c r="I68" s="504"/>
      <c r="J68" s="504"/>
      <c r="K68" s="504"/>
      <c r="L68" s="505"/>
      <c r="O68" s="10" t="str">
        <f>"Provide details of any change of majority ownership of your firm since January 1, "&amp;Variables!B6&amp;"."</f>
        <v>Provide details of any change of majority ownership of your firm since January 1, 2023.</v>
      </c>
      <c r="P68" s="10" t="str">
        <f>"Fournissez des détails sur tout changement dans la propriété majoritaire de votre entreprise depuis le 1er janvier "&amp;Variables!B6&amp;"."</f>
        <v>Fournissez des détails sur tout changement dans la propriété majoritaire de votre entreprise depuis le 1er janvier 2023.</v>
      </c>
      <c r="Q68" s="10"/>
      <c r="R68" s="10"/>
      <c r="S68" s="10"/>
      <c r="T68" s="10"/>
      <c r="U68" s="10"/>
    </row>
    <row r="69" spans="1:21" s="38" customFormat="1" x14ac:dyDescent="0.3">
      <c r="A69" s="49"/>
      <c r="B69" s="53"/>
      <c r="C69" s="94"/>
      <c r="D69" s="94"/>
      <c r="E69" s="94"/>
      <c r="F69" s="94"/>
      <c r="G69" s="94"/>
      <c r="H69" s="94"/>
      <c r="I69" s="94"/>
      <c r="J69" s="94"/>
      <c r="K69" s="94"/>
      <c r="L69" s="54"/>
      <c r="O69" s="10"/>
      <c r="P69" s="10"/>
      <c r="Q69" s="10"/>
      <c r="R69" s="10"/>
      <c r="S69" s="10"/>
      <c r="T69" s="10"/>
      <c r="U69" s="10"/>
    </row>
    <row r="70" spans="1:21" s="11" customFormat="1" x14ac:dyDescent="0.3">
      <c r="A70" s="8"/>
      <c r="B70" s="639"/>
      <c r="C70" s="640"/>
      <c r="D70" s="640"/>
      <c r="E70" s="640"/>
      <c r="F70" s="640"/>
      <c r="G70" s="640"/>
      <c r="H70" s="640"/>
      <c r="I70" s="640"/>
      <c r="J70" s="640"/>
      <c r="K70" s="640"/>
      <c r="L70" s="641"/>
      <c r="M70" s="38"/>
      <c r="Q70" s="10"/>
    </row>
    <row r="71" spans="1:21" s="11" customFormat="1" x14ac:dyDescent="0.3">
      <c r="A71" s="8"/>
      <c r="B71" s="639"/>
      <c r="C71" s="640"/>
      <c r="D71" s="640"/>
      <c r="E71" s="640"/>
      <c r="F71" s="640"/>
      <c r="G71" s="640"/>
      <c r="H71" s="640"/>
      <c r="I71" s="640"/>
      <c r="J71" s="640"/>
      <c r="K71" s="640"/>
      <c r="L71" s="641"/>
      <c r="M71" s="38"/>
      <c r="Q71" s="10"/>
    </row>
    <row r="72" spans="1:21" s="11" customFormat="1" x14ac:dyDescent="0.3">
      <c r="A72" s="8"/>
      <c r="B72" s="639"/>
      <c r="C72" s="640"/>
      <c r="D72" s="640"/>
      <c r="E72" s="640"/>
      <c r="F72" s="640"/>
      <c r="G72" s="640"/>
      <c r="H72" s="640"/>
      <c r="I72" s="640"/>
      <c r="J72" s="640"/>
      <c r="K72" s="640"/>
      <c r="L72" s="641"/>
      <c r="M72" s="38"/>
      <c r="Q72" s="10"/>
    </row>
    <row r="73" spans="1:21" s="11" customFormat="1" x14ac:dyDescent="0.3">
      <c r="A73" s="8"/>
      <c r="B73" s="639"/>
      <c r="C73" s="640"/>
      <c r="D73" s="640"/>
      <c r="E73" s="640"/>
      <c r="F73" s="640"/>
      <c r="G73" s="640"/>
      <c r="H73" s="640"/>
      <c r="I73" s="640"/>
      <c r="J73" s="640"/>
      <c r="K73" s="640"/>
      <c r="L73" s="641"/>
      <c r="M73" s="38"/>
      <c r="Q73" s="10"/>
    </row>
    <row r="74" spans="1:21" s="11" customFormat="1" x14ac:dyDescent="0.3">
      <c r="A74" s="8"/>
      <c r="B74" s="639"/>
      <c r="C74" s="640"/>
      <c r="D74" s="640"/>
      <c r="E74" s="640"/>
      <c r="F74" s="640"/>
      <c r="G74" s="640"/>
      <c r="H74" s="640"/>
      <c r="I74" s="640"/>
      <c r="J74" s="640"/>
      <c r="K74" s="640"/>
      <c r="L74" s="641"/>
      <c r="M74" s="38"/>
      <c r="Q74" s="10"/>
    </row>
    <row r="75" spans="1:21" s="11" customFormat="1" x14ac:dyDescent="0.3">
      <c r="A75" s="8"/>
      <c r="B75" s="639"/>
      <c r="C75" s="640"/>
      <c r="D75" s="640"/>
      <c r="E75" s="640"/>
      <c r="F75" s="640"/>
      <c r="G75" s="640"/>
      <c r="H75" s="640"/>
      <c r="I75" s="640"/>
      <c r="J75" s="640"/>
      <c r="K75" s="640"/>
      <c r="L75" s="641"/>
      <c r="M75" s="38"/>
      <c r="Q75" s="10"/>
    </row>
    <row r="76" spans="1:21" s="11" customFormat="1" x14ac:dyDescent="0.3">
      <c r="A76" s="8"/>
      <c r="B76" s="639"/>
      <c r="C76" s="640"/>
      <c r="D76" s="640"/>
      <c r="E76" s="640"/>
      <c r="F76" s="640"/>
      <c r="G76" s="640"/>
      <c r="H76" s="640"/>
      <c r="I76" s="640"/>
      <c r="J76" s="640"/>
      <c r="K76" s="640"/>
      <c r="L76" s="641"/>
      <c r="M76" s="38"/>
      <c r="Q76" s="10"/>
    </row>
    <row r="77" spans="1:21" s="11" customFormat="1" x14ac:dyDescent="0.3">
      <c r="A77" s="8"/>
      <c r="B77" s="639"/>
      <c r="C77" s="640"/>
      <c r="D77" s="640"/>
      <c r="E77" s="640"/>
      <c r="F77" s="640"/>
      <c r="G77" s="640"/>
      <c r="H77" s="640"/>
      <c r="I77" s="640"/>
      <c r="J77" s="640"/>
      <c r="K77" s="640"/>
      <c r="L77" s="641"/>
      <c r="M77" s="38"/>
      <c r="Q77" s="10"/>
    </row>
    <row r="78" spans="1:21" s="38" customFormat="1" x14ac:dyDescent="0.3">
      <c r="A78" s="49"/>
      <c r="B78" s="50"/>
      <c r="C78" s="51"/>
      <c r="D78" s="51"/>
      <c r="E78" s="51"/>
      <c r="F78" s="51"/>
      <c r="G78" s="51"/>
      <c r="H78" s="51"/>
      <c r="I78" s="51"/>
      <c r="J78" s="51"/>
      <c r="K78" s="51"/>
      <c r="L78" s="52"/>
      <c r="O78" s="10"/>
      <c r="P78" s="10"/>
      <c r="Q78" s="10"/>
      <c r="R78" s="10"/>
      <c r="S78" s="10"/>
      <c r="T78" s="10"/>
      <c r="U78" s="10"/>
    </row>
    <row r="79" spans="1:21" s="6" customFormat="1" x14ac:dyDescent="0.3">
      <c r="A79" s="4"/>
      <c r="B79" s="14"/>
      <c r="C79" s="14"/>
      <c r="D79" s="3"/>
      <c r="E79" s="3"/>
      <c r="F79" s="3"/>
      <c r="G79" s="3"/>
      <c r="H79" s="3"/>
      <c r="I79" s="3"/>
      <c r="J79" s="3"/>
      <c r="K79" s="3"/>
      <c r="L79" s="3"/>
      <c r="O79" s="15"/>
      <c r="P79" s="15"/>
    </row>
    <row r="80" spans="1:21" x14ac:dyDescent="0.3">
      <c r="A80" s="7"/>
      <c r="B80" s="506" t="str">
        <f>IF(Intro!$G$20="English",O80,P80)</f>
        <v>PRODUCER INTERACTIONS</v>
      </c>
      <c r="C80" s="507"/>
      <c r="D80" s="507"/>
      <c r="E80" s="507"/>
      <c r="F80" s="507"/>
      <c r="G80" s="507"/>
      <c r="H80" s="507"/>
      <c r="I80" s="507"/>
      <c r="J80" s="507"/>
      <c r="K80" s="507"/>
      <c r="L80" s="508"/>
      <c r="M80" s="38"/>
      <c r="O80" s="107" t="s">
        <v>318</v>
      </c>
      <c r="P80" s="107" t="s">
        <v>319</v>
      </c>
    </row>
    <row r="81" spans="1:21" s="11" customFormat="1" x14ac:dyDescent="0.3">
      <c r="A81" s="8"/>
      <c r="B81" s="647" t="s">
        <v>18</v>
      </c>
      <c r="C81" s="648"/>
      <c r="D81" s="648"/>
      <c r="E81" s="648"/>
      <c r="F81" s="648"/>
      <c r="G81" s="648"/>
      <c r="H81" s="648"/>
      <c r="I81" s="648"/>
      <c r="J81" s="648"/>
      <c r="K81" s="648"/>
      <c r="L81" s="649"/>
      <c r="M81" s="73"/>
    </row>
    <row r="82" spans="1:21" s="38" customFormat="1" x14ac:dyDescent="0.3">
      <c r="A82" s="49"/>
      <c r="B82" s="53"/>
      <c r="C82" s="94"/>
      <c r="D82" s="94"/>
      <c r="E82" s="94"/>
      <c r="F82" s="94"/>
      <c r="G82" s="94"/>
      <c r="H82" s="94"/>
      <c r="I82" s="94"/>
      <c r="J82" s="94"/>
      <c r="K82" s="94"/>
      <c r="L82" s="54"/>
      <c r="O82" s="10"/>
      <c r="P82" s="10"/>
      <c r="Q82" s="10"/>
      <c r="R82" s="10"/>
      <c r="S82" s="10"/>
      <c r="T82" s="10"/>
      <c r="U82" s="10"/>
    </row>
    <row r="83" spans="1:21" s="38" customFormat="1" x14ac:dyDescent="0.3">
      <c r="A83" s="49"/>
      <c r="B83" s="503" t="str">
        <f>IF(Intro!$G$20="English",O83,P83)</f>
        <v>If your firm has purchased the goods manufactured by Canadian producers since January 1, 2023, provide the names of the Canadian producers, as well as the specifications of the goods purchased from the Canadian producers. If not, explain why.</v>
      </c>
      <c r="C83" s="504"/>
      <c r="D83" s="504"/>
      <c r="E83" s="504"/>
      <c r="F83" s="504"/>
      <c r="G83" s="504"/>
      <c r="H83" s="504"/>
      <c r="I83" s="504"/>
      <c r="J83" s="504"/>
      <c r="K83" s="504"/>
      <c r="L83" s="505"/>
      <c r="O83" s="10"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3" s="10"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3" s="10"/>
      <c r="R83" s="10"/>
      <c r="S83" s="10"/>
      <c r="T83" s="10"/>
      <c r="U83" s="10"/>
    </row>
    <row r="84" spans="1:21" s="38" customFormat="1" x14ac:dyDescent="0.3">
      <c r="A84" s="49"/>
      <c r="B84" s="503"/>
      <c r="C84" s="504"/>
      <c r="D84" s="504"/>
      <c r="E84" s="504"/>
      <c r="F84" s="504"/>
      <c r="G84" s="504"/>
      <c r="H84" s="504"/>
      <c r="I84" s="504"/>
      <c r="J84" s="504"/>
      <c r="K84" s="504"/>
      <c r="L84" s="505"/>
      <c r="O84" s="10"/>
      <c r="P84" s="10"/>
      <c r="Q84" s="10"/>
      <c r="R84" s="10"/>
      <c r="S84" s="10"/>
      <c r="T84" s="10"/>
      <c r="U84" s="10"/>
    </row>
    <row r="85" spans="1:21" s="38" customFormat="1" x14ac:dyDescent="0.3">
      <c r="A85" s="49"/>
      <c r="B85" s="53"/>
      <c r="C85" s="94"/>
      <c r="D85" s="94"/>
      <c r="E85" s="94"/>
      <c r="F85" s="94"/>
      <c r="G85" s="94"/>
      <c r="H85" s="94"/>
      <c r="I85" s="94"/>
      <c r="J85" s="94"/>
      <c r="K85" s="94"/>
      <c r="L85" s="54"/>
      <c r="O85" s="10"/>
      <c r="P85" s="10"/>
      <c r="Q85" s="10"/>
      <c r="R85" s="10"/>
      <c r="S85" s="10"/>
      <c r="T85" s="10"/>
      <c r="U85" s="10"/>
    </row>
    <row r="86" spans="1:21" s="11" customFormat="1" x14ac:dyDescent="0.3">
      <c r="A86" s="8"/>
      <c r="B86" s="639"/>
      <c r="C86" s="640"/>
      <c r="D86" s="640"/>
      <c r="E86" s="640"/>
      <c r="F86" s="640"/>
      <c r="G86" s="640"/>
      <c r="H86" s="640"/>
      <c r="I86" s="640"/>
      <c r="J86" s="640"/>
      <c r="K86" s="640"/>
      <c r="L86" s="641"/>
      <c r="M86" s="38"/>
      <c r="Q86" s="10"/>
    </row>
    <row r="87" spans="1:21" s="11" customFormat="1" x14ac:dyDescent="0.3">
      <c r="A87" s="8"/>
      <c r="B87" s="639"/>
      <c r="C87" s="640"/>
      <c r="D87" s="640"/>
      <c r="E87" s="640"/>
      <c r="F87" s="640"/>
      <c r="G87" s="640"/>
      <c r="H87" s="640"/>
      <c r="I87" s="640"/>
      <c r="J87" s="640"/>
      <c r="K87" s="640"/>
      <c r="L87" s="641"/>
      <c r="M87" s="38"/>
      <c r="Q87" s="10"/>
    </row>
    <row r="88" spans="1:21" s="11" customFormat="1" x14ac:dyDescent="0.3">
      <c r="A88" s="8"/>
      <c r="B88" s="639"/>
      <c r="C88" s="640"/>
      <c r="D88" s="640"/>
      <c r="E88" s="640"/>
      <c r="F88" s="640"/>
      <c r="G88" s="640"/>
      <c r="H88" s="640"/>
      <c r="I88" s="640"/>
      <c r="J88" s="640"/>
      <c r="K88" s="640"/>
      <c r="L88" s="641"/>
      <c r="M88" s="38"/>
      <c r="Q88" s="10"/>
    </row>
    <row r="89" spans="1:21" s="11" customFormat="1" x14ac:dyDescent="0.3">
      <c r="A89" s="8"/>
      <c r="B89" s="639"/>
      <c r="C89" s="640"/>
      <c r="D89" s="640"/>
      <c r="E89" s="640"/>
      <c r="F89" s="640"/>
      <c r="G89" s="640"/>
      <c r="H89" s="640"/>
      <c r="I89" s="640"/>
      <c r="J89" s="640"/>
      <c r="K89" s="640"/>
      <c r="L89" s="641"/>
      <c r="M89" s="38"/>
      <c r="Q89" s="10"/>
    </row>
    <row r="90" spans="1:21" s="11" customFormat="1" x14ac:dyDescent="0.3">
      <c r="A90" s="8"/>
      <c r="B90" s="639"/>
      <c r="C90" s="640"/>
      <c r="D90" s="640"/>
      <c r="E90" s="640"/>
      <c r="F90" s="640"/>
      <c r="G90" s="640"/>
      <c r="H90" s="640"/>
      <c r="I90" s="640"/>
      <c r="J90" s="640"/>
      <c r="K90" s="640"/>
      <c r="L90" s="641"/>
      <c r="M90" s="38"/>
      <c r="Q90" s="10"/>
    </row>
    <row r="91" spans="1:21" s="11" customFormat="1" x14ac:dyDescent="0.3">
      <c r="A91" s="8"/>
      <c r="B91" s="639"/>
      <c r="C91" s="640"/>
      <c r="D91" s="640"/>
      <c r="E91" s="640"/>
      <c r="F91" s="640"/>
      <c r="G91" s="640"/>
      <c r="H91" s="640"/>
      <c r="I91" s="640"/>
      <c r="J91" s="640"/>
      <c r="K91" s="640"/>
      <c r="L91" s="641"/>
      <c r="M91" s="38"/>
      <c r="Q91" s="10"/>
    </row>
    <row r="92" spans="1:21" s="11" customFormat="1" x14ac:dyDescent="0.3">
      <c r="A92" s="8"/>
      <c r="B92" s="639"/>
      <c r="C92" s="640"/>
      <c r="D92" s="640"/>
      <c r="E92" s="640"/>
      <c r="F92" s="640"/>
      <c r="G92" s="640"/>
      <c r="H92" s="640"/>
      <c r="I92" s="640"/>
      <c r="J92" s="640"/>
      <c r="K92" s="640"/>
      <c r="L92" s="641"/>
      <c r="M92" s="38"/>
      <c r="Q92" s="10"/>
    </row>
    <row r="93" spans="1:21" s="11" customFormat="1" x14ac:dyDescent="0.3">
      <c r="A93" s="8"/>
      <c r="B93" s="639"/>
      <c r="C93" s="640"/>
      <c r="D93" s="640"/>
      <c r="E93" s="640"/>
      <c r="F93" s="640"/>
      <c r="G93" s="640"/>
      <c r="H93" s="640"/>
      <c r="I93" s="640"/>
      <c r="J93" s="640"/>
      <c r="K93" s="640"/>
      <c r="L93" s="641"/>
      <c r="M93" s="38"/>
      <c r="Q93" s="10"/>
    </row>
    <row r="94" spans="1:21" s="38" customFormat="1" x14ac:dyDescent="0.3">
      <c r="A94" s="49"/>
      <c r="B94" s="50"/>
      <c r="C94" s="51"/>
      <c r="D94" s="51"/>
      <c r="E94" s="51"/>
      <c r="F94" s="51"/>
      <c r="G94" s="51"/>
      <c r="H94" s="51"/>
      <c r="I94" s="51"/>
      <c r="J94" s="51"/>
      <c r="K94" s="51"/>
      <c r="L94" s="52"/>
      <c r="O94" s="10"/>
      <c r="P94" s="10"/>
      <c r="Q94" s="10"/>
      <c r="R94" s="10"/>
      <c r="S94" s="10"/>
      <c r="T94" s="10"/>
      <c r="U94" s="10"/>
    </row>
    <row r="95" spans="1:21" s="11" customFormat="1" x14ac:dyDescent="0.3">
      <c r="A95" s="8"/>
      <c r="B95" s="650" t="s">
        <v>19</v>
      </c>
      <c r="C95" s="651"/>
      <c r="D95" s="651"/>
      <c r="E95" s="651"/>
      <c r="F95" s="651"/>
      <c r="G95" s="651"/>
      <c r="H95" s="651"/>
      <c r="I95" s="651"/>
      <c r="J95" s="651"/>
      <c r="K95" s="651"/>
      <c r="L95" s="652"/>
      <c r="M95" s="73"/>
    </row>
    <row r="96" spans="1:21" s="38" customFormat="1" x14ac:dyDescent="0.3">
      <c r="A96" s="49"/>
      <c r="B96" s="53"/>
      <c r="C96" s="94"/>
      <c r="D96" s="94"/>
      <c r="E96" s="94"/>
      <c r="F96" s="94"/>
      <c r="G96" s="94"/>
      <c r="H96" s="94"/>
      <c r="I96" s="94"/>
      <c r="J96" s="94"/>
      <c r="K96" s="94"/>
      <c r="L96" s="54"/>
      <c r="O96" s="10"/>
      <c r="P96" s="10"/>
      <c r="Q96" s="10"/>
      <c r="R96" s="10"/>
      <c r="S96" s="10"/>
      <c r="T96" s="10"/>
      <c r="U96" s="10"/>
    </row>
    <row r="97" spans="1:21" s="38" customFormat="1" x14ac:dyDescent="0.3">
      <c r="A97" s="49"/>
      <c r="B97" s="503" t="str">
        <f>IF(Intro!$G$20="English",O97,P97)</f>
        <v>If your firm, as the importer of record, has sold imports of the goods to Canadian producers since January 1, 2023, provide details regarding the specifications of the goods and the countries of origin.</v>
      </c>
      <c r="C97" s="504"/>
      <c r="D97" s="504"/>
      <c r="E97" s="504"/>
      <c r="F97" s="504"/>
      <c r="G97" s="504"/>
      <c r="H97" s="504"/>
      <c r="I97" s="504"/>
      <c r="J97" s="504"/>
      <c r="K97" s="504"/>
      <c r="L97" s="505"/>
      <c r="O97" s="10"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97" s="10"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97" s="10"/>
      <c r="R97" s="10"/>
      <c r="S97" s="10"/>
      <c r="T97" s="10"/>
      <c r="U97" s="10"/>
    </row>
    <row r="98" spans="1:21" s="38" customFormat="1" x14ac:dyDescent="0.3">
      <c r="A98" s="49"/>
      <c r="B98" s="503"/>
      <c r="C98" s="504"/>
      <c r="D98" s="504"/>
      <c r="E98" s="504"/>
      <c r="F98" s="504"/>
      <c r="G98" s="504"/>
      <c r="H98" s="504"/>
      <c r="I98" s="504"/>
      <c r="J98" s="504"/>
      <c r="K98" s="504"/>
      <c r="L98" s="505"/>
      <c r="O98" s="10"/>
      <c r="P98" s="10"/>
      <c r="Q98" s="10"/>
      <c r="R98" s="10"/>
      <c r="S98" s="10"/>
      <c r="T98" s="10"/>
      <c r="U98" s="10"/>
    </row>
    <row r="99" spans="1:21" s="38" customFormat="1" x14ac:dyDescent="0.3">
      <c r="A99" s="49"/>
      <c r="B99" s="53"/>
      <c r="C99" s="94"/>
      <c r="D99" s="94"/>
      <c r="E99" s="94"/>
      <c r="F99" s="94"/>
      <c r="G99" s="94"/>
      <c r="H99" s="94"/>
      <c r="I99" s="94"/>
      <c r="J99" s="94"/>
      <c r="K99" s="94"/>
      <c r="L99" s="54"/>
      <c r="O99" s="10"/>
      <c r="P99" s="10"/>
      <c r="Q99" s="10"/>
      <c r="R99" s="10"/>
      <c r="S99" s="10"/>
      <c r="T99" s="10"/>
      <c r="U99" s="10"/>
    </row>
    <row r="100" spans="1:21" s="11" customFormat="1" x14ac:dyDescent="0.3">
      <c r="A100" s="8"/>
      <c r="B100" s="639"/>
      <c r="C100" s="640"/>
      <c r="D100" s="640"/>
      <c r="E100" s="640"/>
      <c r="F100" s="640"/>
      <c r="G100" s="640"/>
      <c r="H100" s="640"/>
      <c r="I100" s="640"/>
      <c r="J100" s="640"/>
      <c r="K100" s="640"/>
      <c r="L100" s="641"/>
      <c r="M100" s="38"/>
      <c r="Q100" s="10"/>
    </row>
    <row r="101" spans="1:21" s="11" customFormat="1" x14ac:dyDescent="0.3">
      <c r="A101" s="8"/>
      <c r="B101" s="639"/>
      <c r="C101" s="640"/>
      <c r="D101" s="640"/>
      <c r="E101" s="640"/>
      <c r="F101" s="640"/>
      <c r="G101" s="640"/>
      <c r="H101" s="640"/>
      <c r="I101" s="640"/>
      <c r="J101" s="640"/>
      <c r="K101" s="640"/>
      <c r="L101" s="641"/>
      <c r="M101" s="38"/>
      <c r="Q101" s="10"/>
    </row>
    <row r="102" spans="1:21" s="11" customFormat="1" x14ac:dyDescent="0.3">
      <c r="A102" s="8"/>
      <c r="B102" s="639"/>
      <c r="C102" s="640"/>
      <c r="D102" s="640"/>
      <c r="E102" s="640"/>
      <c r="F102" s="640"/>
      <c r="G102" s="640"/>
      <c r="H102" s="640"/>
      <c r="I102" s="640"/>
      <c r="J102" s="640"/>
      <c r="K102" s="640"/>
      <c r="L102" s="641"/>
      <c r="M102" s="38"/>
      <c r="Q102" s="10"/>
    </row>
    <row r="103" spans="1:21" s="11" customFormat="1" x14ac:dyDescent="0.3">
      <c r="A103" s="8"/>
      <c r="B103" s="639"/>
      <c r="C103" s="640"/>
      <c r="D103" s="640"/>
      <c r="E103" s="640"/>
      <c r="F103" s="640"/>
      <c r="G103" s="640"/>
      <c r="H103" s="640"/>
      <c r="I103" s="640"/>
      <c r="J103" s="640"/>
      <c r="K103" s="640"/>
      <c r="L103" s="641"/>
      <c r="M103" s="38"/>
      <c r="Q103" s="10"/>
    </row>
    <row r="104" spans="1:21" s="11" customFormat="1" x14ac:dyDescent="0.3">
      <c r="A104" s="8"/>
      <c r="B104" s="639"/>
      <c r="C104" s="640"/>
      <c r="D104" s="640"/>
      <c r="E104" s="640"/>
      <c r="F104" s="640"/>
      <c r="G104" s="640"/>
      <c r="H104" s="640"/>
      <c r="I104" s="640"/>
      <c r="J104" s="640"/>
      <c r="K104" s="640"/>
      <c r="L104" s="641"/>
      <c r="M104" s="38"/>
      <c r="Q104" s="10"/>
    </row>
    <row r="105" spans="1:21" s="11" customFormat="1" x14ac:dyDescent="0.3">
      <c r="A105" s="8"/>
      <c r="B105" s="639"/>
      <c r="C105" s="640"/>
      <c r="D105" s="640"/>
      <c r="E105" s="640"/>
      <c r="F105" s="640"/>
      <c r="G105" s="640"/>
      <c r="H105" s="640"/>
      <c r="I105" s="640"/>
      <c r="J105" s="640"/>
      <c r="K105" s="640"/>
      <c r="L105" s="641"/>
      <c r="M105" s="38"/>
      <c r="Q105" s="10"/>
    </row>
    <row r="106" spans="1:21" s="11" customFormat="1" x14ac:dyDescent="0.3">
      <c r="A106" s="8"/>
      <c r="B106" s="639"/>
      <c r="C106" s="640"/>
      <c r="D106" s="640"/>
      <c r="E106" s="640"/>
      <c r="F106" s="640"/>
      <c r="G106" s="640"/>
      <c r="H106" s="640"/>
      <c r="I106" s="640"/>
      <c r="J106" s="640"/>
      <c r="K106" s="640"/>
      <c r="L106" s="641"/>
      <c r="M106" s="38"/>
      <c r="Q106" s="10"/>
    </row>
    <row r="107" spans="1:21" s="11" customFormat="1" x14ac:dyDescent="0.3">
      <c r="A107" s="8"/>
      <c r="B107" s="639"/>
      <c r="C107" s="640"/>
      <c r="D107" s="640"/>
      <c r="E107" s="640"/>
      <c r="F107" s="640"/>
      <c r="G107" s="640"/>
      <c r="H107" s="640"/>
      <c r="I107" s="640"/>
      <c r="J107" s="640"/>
      <c r="K107" s="640"/>
      <c r="L107" s="641"/>
      <c r="M107" s="38"/>
      <c r="Q107" s="10"/>
    </row>
    <row r="108" spans="1:21" s="38" customFormat="1" x14ac:dyDescent="0.3">
      <c r="A108" s="49"/>
      <c r="B108" s="50"/>
      <c r="C108" s="51"/>
      <c r="D108" s="51"/>
      <c r="E108" s="51"/>
      <c r="F108" s="51"/>
      <c r="G108" s="51"/>
      <c r="H108" s="51"/>
      <c r="I108" s="51"/>
      <c r="J108" s="51"/>
      <c r="K108" s="51"/>
      <c r="L108" s="52"/>
      <c r="O108" s="10"/>
      <c r="P108" s="10"/>
      <c r="Q108" s="10"/>
      <c r="R108" s="10"/>
      <c r="S108" s="10"/>
      <c r="T108" s="10"/>
      <c r="U108" s="10"/>
    </row>
    <row r="110" spans="1:21" x14ac:dyDescent="0.3">
      <c r="A110" s="7"/>
      <c r="B110" s="506" t="s">
        <v>320</v>
      </c>
      <c r="C110" s="507"/>
      <c r="D110" s="507"/>
      <c r="E110" s="507"/>
      <c r="F110" s="507"/>
      <c r="G110" s="507"/>
      <c r="H110" s="507"/>
      <c r="I110" s="507"/>
      <c r="J110" s="507"/>
      <c r="K110" s="507"/>
      <c r="L110" s="508"/>
      <c r="M110" s="38"/>
    </row>
    <row r="111" spans="1:21" s="11" customFormat="1" x14ac:dyDescent="0.3">
      <c r="A111" s="8"/>
      <c r="B111" s="650" t="s">
        <v>20</v>
      </c>
      <c r="C111" s="651"/>
      <c r="D111" s="651"/>
      <c r="E111" s="651"/>
      <c r="F111" s="651"/>
      <c r="G111" s="651"/>
      <c r="H111" s="651"/>
      <c r="I111" s="651"/>
      <c r="J111" s="651"/>
      <c r="K111" s="651"/>
      <c r="L111" s="652"/>
      <c r="M111" s="73"/>
    </row>
    <row r="112" spans="1:21" s="38" customFormat="1" x14ac:dyDescent="0.3">
      <c r="A112" s="49"/>
      <c r="B112" s="53"/>
      <c r="C112" s="94"/>
      <c r="D112" s="94"/>
      <c r="E112" s="94"/>
      <c r="F112" s="94"/>
      <c r="G112" s="94"/>
      <c r="H112" s="94"/>
      <c r="I112" s="94"/>
      <c r="J112" s="94"/>
      <c r="K112" s="94"/>
      <c r="L112" s="54"/>
      <c r="O112" s="10"/>
      <c r="P112" s="10"/>
      <c r="Q112" s="10"/>
      <c r="R112" s="10"/>
      <c r="S112" s="10"/>
      <c r="T112" s="10"/>
      <c r="U112" s="10"/>
    </row>
    <row r="113" spans="1:21" s="38" customFormat="1" x14ac:dyDescent="0.3">
      <c r="A113" s="49"/>
      <c r="B113" s="625" t="str">
        <f>IF(Intro!$G$20="English",O113,P113)</f>
        <v>Provide details if your firm changed the product mix of the goods it has imported since January 1, 2023.</v>
      </c>
      <c r="C113" s="626"/>
      <c r="D113" s="626"/>
      <c r="E113" s="626"/>
      <c r="F113" s="626"/>
      <c r="G113" s="626"/>
      <c r="H113" s="626"/>
      <c r="I113" s="626"/>
      <c r="J113" s="626"/>
      <c r="K113" s="626"/>
      <c r="L113" s="627"/>
      <c r="O113" s="10" t="str">
        <f>"Provide details if your firm changed the product mix of the goods it has imported since January 1, "&amp;Variables!B6&amp;"."</f>
        <v>Provide details if your firm changed the product mix of the goods it has imported since January 1, 2023.</v>
      </c>
      <c r="P113" s="10"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3" s="10"/>
      <c r="R113" s="10"/>
      <c r="S113" s="10"/>
      <c r="T113" s="10"/>
      <c r="U113" s="10"/>
    </row>
    <row r="114" spans="1:21" s="38" customFormat="1" x14ac:dyDescent="0.3">
      <c r="A114" s="49"/>
      <c r="B114" s="53"/>
      <c r="C114" s="94"/>
      <c r="D114" s="94"/>
      <c r="E114" s="94"/>
      <c r="F114" s="94"/>
      <c r="G114" s="94"/>
      <c r="H114" s="94"/>
      <c r="I114" s="94"/>
      <c r="J114" s="94"/>
      <c r="K114" s="94"/>
      <c r="L114" s="54"/>
      <c r="O114" s="10"/>
      <c r="P114" s="10"/>
      <c r="Q114" s="10"/>
      <c r="R114" s="10"/>
      <c r="S114" s="10"/>
      <c r="T114" s="10"/>
      <c r="U114" s="10"/>
    </row>
    <row r="115" spans="1:21" s="11" customFormat="1" x14ac:dyDescent="0.3">
      <c r="A115" s="8"/>
      <c r="B115" s="639"/>
      <c r="C115" s="640"/>
      <c r="D115" s="640"/>
      <c r="E115" s="640"/>
      <c r="F115" s="640"/>
      <c r="G115" s="640"/>
      <c r="H115" s="640"/>
      <c r="I115" s="640"/>
      <c r="J115" s="640"/>
      <c r="K115" s="640"/>
      <c r="L115" s="641"/>
      <c r="M115" s="38"/>
      <c r="Q115" s="10"/>
    </row>
    <row r="116" spans="1:21" s="11" customFormat="1" x14ac:dyDescent="0.3">
      <c r="A116" s="8"/>
      <c r="B116" s="639"/>
      <c r="C116" s="640"/>
      <c r="D116" s="640"/>
      <c r="E116" s="640"/>
      <c r="F116" s="640"/>
      <c r="G116" s="640"/>
      <c r="H116" s="640"/>
      <c r="I116" s="640"/>
      <c r="J116" s="640"/>
      <c r="K116" s="640"/>
      <c r="L116" s="641"/>
      <c r="M116" s="38"/>
      <c r="Q116" s="10"/>
    </row>
    <row r="117" spans="1:21" s="11" customFormat="1" x14ac:dyDescent="0.3">
      <c r="A117" s="8"/>
      <c r="B117" s="639"/>
      <c r="C117" s="640"/>
      <c r="D117" s="640"/>
      <c r="E117" s="640"/>
      <c r="F117" s="640"/>
      <c r="G117" s="640"/>
      <c r="H117" s="640"/>
      <c r="I117" s="640"/>
      <c r="J117" s="640"/>
      <c r="K117" s="640"/>
      <c r="L117" s="641"/>
      <c r="M117" s="38"/>
      <c r="Q117" s="10"/>
    </row>
    <row r="118" spans="1:21" s="11" customFormat="1" x14ac:dyDescent="0.3">
      <c r="A118" s="8"/>
      <c r="B118" s="639"/>
      <c r="C118" s="640"/>
      <c r="D118" s="640"/>
      <c r="E118" s="640"/>
      <c r="F118" s="640"/>
      <c r="G118" s="640"/>
      <c r="H118" s="640"/>
      <c r="I118" s="640"/>
      <c r="J118" s="640"/>
      <c r="K118" s="640"/>
      <c r="L118" s="641"/>
      <c r="M118" s="38"/>
      <c r="Q118" s="10"/>
    </row>
    <row r="119" spans="1:21" s="11" customFormat="1" x14ac:dyDescent="0.3">
      <c r="A119" s="8"/>
      <c r="B119" s="639"/>
      <c r="C119" s="640"/>
      <c r="D119" s="640"/>
      <c r="E119" s="640"/>
      <c r="F119" s="640"/>
      <c r="G119" s="640"/>
      <c r="H119" s="640"/>
      <c r="I119" s="640"/>
      <c r="J119" s="640"/>
      <c r="K119" s="640"/>
      <c r="L119" s="641"/>
      <c r="M119" s="38"/>
      <c r="Q119" s="10"/>
    </row>
    <row r="120" spans="1:21" s="11" customFormat="1" x14ac:dyDescent="0.3">
      <c r="A120" s="8"/>
      <c r="B120" s="639"/>
      <c r="C120" s="640"/>
      <c r="D120" s="640"/>
      <c r="E120" s="640"/>
      <c r="F120" s="640"/>
      <c r="G120" s="640"/>
      <c r="H120" s="640"/>
      <c r="I120" s="640"/>
      <c r="J120" s="640"/>
      <c r="K120" s="640"/>
      <c r="L120" s="641"/>
      <c r="M120" s="38"/>
      <c r="Q120" s="10"/>
    </row>
    <row r="121" spans="1:21" s="11" customFormat="1" x14ac:dyDescent="0.3">
      <c r="A121" s="8"/>
      <c r="B121" s="639"/>
      <c r="C121" s="640"/>
      <c r="D121" s="640"/>
      <c r="E121" s="640"/>
      <c r="F121" s="640"/>
      <c r="G121" s="640"/>
      <c r="H121" s="640"/>
      <c r="I121" s="640"/>
      <c r="J121" s="640"/>
      <c r="K121" s="640"/>
      <c r="L121" s="641"/>
      <c r="M121" s="38"/>
      <c r="Q121" s="10"/>
    </row>
    <row r="122" spans="1:21" s="11" customFormat="1" x14ac:dyDescent="0.3">
      <c r="A122" s="8"/>
      <c r="B122" s="639"/>
      <c r="C122" s="640"/>
      <c r="D122" s="640"/>
      <c r="E122" s="640"/>
      <c r="F122" s="640"/>
      <c r="G122" s="640"/>
      <c r="H122" s="640"/>
      <c r="I122" s="640"/>
      <c r="J122" s="640"/>
      <c r="K122" s="640"/>
      <c r="L122" s="641"/>
      <c r="M122" s="38"/>
      <c r="Q122" s="10"/>
    </row>
    <row r="123" spans="1:21" s="38" customFormat="1" x14ac:dyDescent="0.3">
      <c r="A123" s="49"/>
      <c r="B123" s="50"/>
      <c r="C123" s="51"/>
      <c r="D123" s="51"/>
      <c r="E123" s="51"/>
      <c r="F123" s="51"/>
      <c r="G123" s="51"/>
      <c r="H123" s="51"/>
      <c r="I123" s="51"/>
      <c r="J123" s="51"/>
      <c r="K123" s="51"/>
      <c r="L123" s="52"/>
      <c r="O123" s="10"/>
      <c r="P123" s="10"/>
      <c r="Q123" s="10"/>
      <c r="R123" s="10"/>
      <c r="S123" s="10"/>
      <c r="T123" s="10"/>
      <c r="U123" s="10"/>
    </row>
    <row r="124" spans="1:21" s="11" customFormat="1" x14ac:dyDescent="0.3">
      <c r="A124" s="7"/>
      <c r="B124" s="650" t="s">
        <v>21</v>
      </c>
      <c r="C124" s="651"/>
      <c r="D124" s="651"/>
      <c r="E124" s="651"/>
      <c r="F124" s="651"/>
      <c r="G124" s="651"/>
      <c r="H124" s="651"/>
      <c r="I124" s="651"/>
      <c r="J124" s="651"/>
      <c r="K124" s="651"/>
      <c r="L124" s="652"/>
      <c r="M124" s="73"/>
    </row>
    <row r="125" spans="1:21" s="38" customFormat="1" x14ac:dyDescent="0.3">
      <c r="A125" s="95"/>
      <c r="B125" s="53"/>
      <c r="C125" s="94"/>
      <c r="D125" s="94"/>
      <c r="E125" s="94"/>
      <c r="F125" s="94"/>
      <c r="G125" s="94"/>
      <c r="H125" s="94"/>
      <c r="I125" s="94"/>
      <c r="J125" s="94"/>
      <c r="K125" s="94"/>
      <c r="L125" s="54"/>
      <c r="O125" s="10"/>
      <c r="P125" s="10"/>
      <c r="Q125" s="10"/>
      <c r="R125" s="10"/>
      <c r="S125" s="10"/>
      <c r="T125" s="10"/>
      <c r="U125" s="10"/>
    </row>
    <row r="126" spans="1:21" s="38" customFormat="1" x14ac:dyDescent="0.3">
      <c r="A126" s="95"/>
      <c r="B126" s="625" t="str">
        <f>IF(Intro!$G$20="English",O126,P126)</f>
        <v>Describe how delivery of the goods purchased by your firm is paid for.</v>
      </c>
      <c r="C126" s="626"/>
      <c r="D126" s="626"/>
      <c r="E126" s="626"/>
      <c r="F126" s="626"/>
      <c r="G126" s="626"/>
      <c r="H126" s="626"/>
      <c r="I126" s="626"/>
      <c r="J126" s="626"/>
      <c r="K126" s="626"/>
      <c r="L126" s="627"/>
      <c r="O126" s="10" t="s">
        <v>157</v>
      </c>
      <c r="P126" s="10" t="s">
        <v>208</v>
      </c>
      <c r="Q126" s="10"/>
      <c r="R126" s="10"/>
      <c r="S126" s="10"/>
      <c r="T126" s="10"/>
      <c r="U126" s="10"/>
    </row>
    <row r="127" spans="1:21" s="38" customFormat="1" x14ac:dyDescent="0.3">
      <c r="A127" s="95"/>
      <c r="B127" s="53"/>
      <c r="C127" s="94"/>
      <c r="D127" s="94"/>
      <c r="E127" s="94"/>
      <c r="F127" s="94"/>
      <c r="G127" s="94"/>
      <c r="H127" s="246" t="str">
        <f>IF(Intro!$G$20="English",O127,P127)</f>
        <v>Select all that apply</v>
      </c>
      <c r="I127" s="94"/>
      <c r="J127" s="94"/>
      <c r="K127" s="94"/>
      <c r="L127" s="54"/>
      <c r="O127" s="10" t="s">
        <v>518</v>
      </c>
      <c r="P127" s="10" t="s">
        <v>519</v>
      </c>
      <c r="Q127" s="10"/>
      <c r="R127" s="10"/>
      <c r="S127" s="10"/>
      <c r="T127" s="10"/>
      <c r="U127" s="10"/>
    </row>
    <row r="128" spans="1:21" x14ac:dyDescent="0.3">
      <c r="A128" s="7"/>
      <c r="B128" s="656" t="str">
        <f>IF(Intro!$G$20="English",O128,P128)</f>
        <v xml:space="preserve">The exporter handles delivery, and the cost is built into the price. </v>
      </c>
      <c r="C128" s="657"/>
      <c r="D128" s="657"/>
      <c r="E128" s="657"/>
      <c r="F128" s="657"/>
      <c r="G128" s="658"/>
      <c r="H128" s="127"/>
      <c r="I128" s="94"/>
      <c r="J128" s="94"/>
      <c r="K128" s="94"/>
      <c r="L128" s="54"/>
      <c r="M128" s="10"/>
      <c r="O128" s="10" t="s">
        <v>426</v>
      </c>
      <c r="P128" s="158" t="s">
        <v>428</v>
      </c>
    </row>
    <row r="129" spans="1:21" x14ac:dyDescent="0.3">
      <c r="A129" s="7"/>
      <c r="B129" s="656" t="str">
        <f>IF(Intro!$G$20="English",O129,P129)</f>
        <v xml:space="preserve">The exporter handles delivery, but charges your firm separately for it. </v>
      </c>
      <c r="C129" s="657"/>
      <c r="D129" s="657"/>
      <c r="E129" s="657"/>
      <c r="F129" s="657"/>
      <c r="G129" s="658"/>
      <c r="H129" s="127"/>
      <c r="I129" s="94"/>
      <c r="J129" s="94"/>
      <c r="K129" s="94"/>
      <c r="L129" s="54"/>
      <c r="M129" s="10"/>
      <c r="O129" s="10" t="s">
        <v>427</v>
      </c>
      <c r="P129" s="158" t="s">
        <v>430</v>
      </c>
    </row>
    <row r="130" spans="1:21" x14ac:dyDescent="0.3">
      <c r="A130" s="7"/>
      <c r="B130" s="656" t="str">
        <f>IF(Intro!$G$20="English",O130,P130)</f>
        <v xml:space="preserve">Your firm arranges and pays for delivery directly. </v>
      </c>
      <c r="C130" s="657"/>
      <c r="D130" s="657"/>
      <c r="E130" s="657"/>
      <c r="F130" s="657"/>
      <c r="G130" s="658"/>
      <c r="H130" s="127"/>
      <c r="I130" s="94"/>
      <c r="J130" s="94"/>
      <c r="K130" s="94"/>
      <c r="L130" s="54"/>
      <c r="M130" s="10"/>
      <c r="O130" s="10" t="s">
        <v>462</v>
      </c>
      <c r="P130" s="158" t="s">
        <v>429</v>
      </c>
    </row>
    <row r="131" spans="1:21" s="38" customFormat="1" x14ac:dyDescent="0.3">
      <c r="A131" s="95"/>
      <c r="B131" s="53"/>
      <c r="C131" s="94"/>
      <c r="D131" s="94"/>
      <c r="E131" s="94"/>
      <c r="F131" s="94"/>
      <c r="G131" s="94"/>
      <c r="H131" s="94"/>
      <c r="I131" s="94"/>
      <c r="J131" s="94"/>
      <c r="K131" s="94"/>
      <c r="L131" s="54"/>
      <c r="O131" s="10"/>
      <c r="P131" s="10"/>
      <c r="Q131" s="10"/>
      <c r="R131" s="10"/>
      <c r="S131" s="10"/>
      <c r="T131" s="10"/>
      <c r="U131" s="10"/>
    </row>
    <row r="132" spans="1:21" s="38" customFormat="1" x14ac:dyDescent="0.3">
      <c r="A132" s="95"/>
      <c r="B132" s="625" t="str">
        <f>IF(Intro!$G$20="English",O132,P132)</f>
        <v>Provide details if delivery charges paid by your firm have changed since January 1, 2023.</v>
      </c>
      <c r="C132" s="626"/>
      <c r="D132" s="626"/>
      <c r="E132" s="626"/>
      <c r="F132" s="626"/>
      <c r="G132" s="626"/>
      <c r="H132" s="626"/>
      <c r="I132" s="626"/>
      <c r="J132" s="626"/>
      <c r="K132" s="626"/>
      <c r="L132" s="627"/>
      <c r="O132" s="10" t="str">
        <f>"Provide details if delivery charges paid by your firm have changed since January 1, "&amp;Variables!B6&amp;"."</f>
        <v>Provide details if delivery charges paid by your firm have changed since January 1, 2023.</v>
      </c>
      <c r="P132" s="10" t="str">
        <f>"Fournissez des détails si les frais de livraison payés par votre entreprise ont changé depuis le 1er janvier "&amp;Variables!B6&amp;"."</f>
        <v>Fournissez des détails si les frais de livraison payés par votre entreprise ont changé depuis le 1er janvier 2023.</v>
      </c>
      <c r="Q132" s="10"/>
      <c r="R132" s="10"/>
      <c r="S132" s="10"/>
      <c r="T132" s="10"/>
      <c r="U132" s="10"/>
    </row>
    <row r="133" spans="1:21" s="38" customFormat="1" x14ac:dyDescent="0.3">
      <c r="A133" s="95"/>
      <c r="B133" s="53"/>
      <c r="C133" s="94"/>
      <c r="D133" s="94"/>
      <c r="E133" s="94"/>
      <c r="F133" s="94"/>
      <c r="G133" s="94"/>
      <c r="H133" s="94"/>
      <c r="I133" s="94"/>
      <c r="J133" s="94"/>
      <c r="K133" s="94"/>
      <c r="L133" s="54"/>
      <c r="O133" s="10"/>
      <c r="P133" s="10"/>
      <c r="Q133" s="10"/>
      <c r="R133" s="10"/>
      <c r="S133" s="10"/>
      <c r="T133" s="10"/>
      <c r="U133" s="10"/>
    </row>
    <row r="134" spans="1:21" s="11" customFormat="1" x14ac:dyDescent="0.3">
      <c r="A134" s="8"/>
      <c r="B134" s="639"/>
      <c r="C134" s="640"/>
      <c r="D134" s="640"/>
      <c r="E134" s="640"/>
      <c r="F134" s="640"/>
      <c r="G134" s="640"/>
      <c r="H134" s="640"/>
      <c r="I134" s="640"/>
      <c r="J134" s="640"/>
      <c r="K134" s="640"/>
      <c r="L134" s="641"/>
      <c r="M134" s="38"/>
      <c r="Q134" s="10"/>
    </row>
    <row r="135" spans="1:21" s="11" customFormat="1" x14ac:dyDescent="0.3">
      <c r="A135" s="8"/>
      <c r="B135" s="639"/>
      <c r="C135" s="640"/>
      <c r="D135" s="640"/>
      <c r="E135" s="640"/>
      <c r="F135" s="640"/>
      <c r="G135" s="640"/>
      <c r="H135" s="640"/>
      <c r="I135" s="640"/>
      <c r="J135" s="640"/>
      <c r="K135" s="640"/>
      <c r="L135" s="641"/>
      <c r="M135" s="38"/>
      <c r="Q135" s="10"/>
    </row>
    <row r="136" spans="1:21" s="11" customFormat="1" x14ac:dyDescent="0.3">
      <c r="A136" s="8"/>
      <c r="B136" s="639"/>
      <c r="C136" s="640"/>
      <c r="D136" s="640"/>
      <c r="E136" s="640"/>
      <c r="F136" s="640"/>
      <c r="G136" s="640"/>
      <c r="H136" s="640"/>
      <c r="I136" s="640"/>
      <c r="J136" s="640"/>
      <c r="K136" s="640"/>
      <c r="L136" s="641"/>
      <c r="M136" s="38"/>
      <c r="Q136" s="10"/>
    </row>
    <row r="137" spans="1:21" s="11" customFormat="1" x14ac:dyDescent="0.3">
      <c r="A137" s="8"/>
      <c r="B137" s="639"/>
      <c r="C137" s="640"/>
      <c r="D137" s="640"/>
      <c r="E137" s="640"/>
      <c r="F137" s="640"/>
      <c r="G137" s="640"/>
      <c r="H137" s="640"/>
      <c r="I137" s="640"/>
      <c r="J137" s="640"/>
      <c r="K137" s="640"/>
      <c r="L137" s="641"/>
      <c r="M137" s="38"/>
      <c r="Q137" s="10"/>
    </row>
    <row r="138" spans="1:21" s="11" customFormat="1" x14ac:dyDescent="0.3">
      <c r="A138" s="8"/>
      <c r="B138" s="639"/>
      <c r="C138" s="640"/>
      <c r="D138" s="640"/>
      <c r="E138" s="640"/>
      <c r="F138" s="640"/>
      <c r="G138" s="640"/>
      <c r="H138" s="640"/>
      <c r="I138" s="640"/>
      <c r="J138" s="640"/>
      <c r="K138" s="640"/>
      <c r="L138" s="641"/>
      <c r="M138" s="38"/>
      <c r="Q138" s="10"/>
    </row>
    <row r="139" spans="1:21" s="11" customFormat="1" x14ac:dyDescent="0.3">
      <c r="A139" s="8"/>
      <c r="B139" s="639"/>
      <c r="C139" s="640"/>
      <c r="D139" s="640"/>
      <c r="E139" s="640"/>
      <c r="F139" s="640"/>
      <c r="G139" s="640"/>
      <c r="H139" s="640"/>
      <c r="I139" s="640"/>
      <c r="J139" s="640"/>
      <c r="K139" s="640"/>
      <c r="L139" s="641"/>
      <c r="M139" s="38"/>
      <c r="Q139" s="10"/>
    </row>
    <row r="140" spans="1:21" s="11" customFormat="1" x14ac:dyDescent="0.3">
      <c r="A140" s="8"/>
      <c r="B140" s="639"/>
      <c r="C140" s="640"/>
      <c r="D140" s="640"/>
      <c r="E140" s="640"/>
      <c r="F140" s="640"/>
      <c r="G140" s="640"/>
      <c r="H140" s="640"/>
      <c r="I140" s="640"/>
      <c r="J140" s="640"/>
      <c r="K140" s="640"/>
      <c r="L140" s="641"/>
      <c r="M140" s="38"/>
      <c r="Q140" s="10"/>
    </row>
    <row r="141" spans="1:21" s="11" customFormat="1" x14ac:dyDescent="0.3">
      <c r="A141" s="8"/>
      <c r="B141" s="639"/>
      <c r="C141" s="640"/>
      <c r="D141" s="640"/>
      <c r="E141" s="640"/>
      <c r="F141" s="640"/>
      <c r="G141" s="640"/>
      <c r="H141" s="640"/>
      <c r="I141" s="640"/>
      <c r="J141" s="640"/>
      <c r="K141" s="640"/>
      <c r="L141" s="641"/>
      <c r="M141" s="38"/>
      <c r="Q141" s="10"/>
    </row>
    <row r="142" spans="1:21" s="38" customFormat="1" x14ac:dyDescent="0.3">
      <c r="A142" s="95"/>
      <c r="B142" s="50"/>
      <c r="C142" s="51"/>
      <c r="D142" s="51"/>
      <c r="E142" s="51"/>
      <c r="F142" s="51"/>
      <c r="G142" s="51"/>
      <c r="H142" s="51"/>
      <c r="I142" s="51"/>
      <c r="J142" s="51"/>
      <c r="K142" s="51"/>
      <c r="L142" s="52"/>
      <c r="O142" s="10"/>
      <c r="P142" s="10"/>
      <c r="Q142" s="10"/>
      <c r="R142" s="10"/>
      <c r="S142" s="10"/>
      <c r="T142" s="10"/>
      <c r="U142" s="10"/>
    </row>
    <row r="144" spans="1:21" x14ac:dyDescent="0.3">
      <c r="B144" s="506" t="str">
        <f>IF(Intro!$G$20="English",O144,P144)</f>
        <v>MARKET CHARACTERISTICS OF THE GOODS</v>
      </c>
      <c r="C144" s="507"/>
      <c r="D144" s="507"/>
      <c r="E144" s="507"/>
      <c r="F144" s="507"/>
      <c r="G144" s="507"/>
      <c r="H144" s="507"/>
      <c r="I144" s="507"/>
      <c r="J144" s="507"/>
      <c r="K144" s="507"/>
      <c r="L144" s="508"/>
      <c r="M144" s="38"/>
      <c r="O144" s="107" t="s">
        <v>321</v>
      </c>
      <c r="P144" s="107" t="s">
        <v>322</v>
      </c>
    </row>
    <row r="145" spans="1:21" s="11" customFormat="1" x14ac:dyDescent="0.3">
      <c r="A145" s="8"/>
      <c r="B145" s="647" t="s">
        <v>22</v>
      </c>
      <c r="C145" s="648"/>
      <c r="D145" s="648"/>
      <c r="E145" s="648"/>
      <c r="F145" s="648"/>
      <c r="G145" s="648"/>
      <c r="H145" s="648"/>
      <c r="I145" s="648"/>
      <c r="J145" s="648"/>
      <c r="K145" s="648"/>
      <c r="L145" s="649"/>
      <c r="M145" s="73"/>
    </row>
    <row r="146" spans="1:21" s="38" customFormat="1" x14ac:dyDescent="0.3">
      <c r="A146" s="49"/>
      <c r="B146" s="53"/>
      <c r="C146" s="94"/>
      <c r="D146" s="94"/>
      <c r="E146" s="94"/>
      <c r="F146" s="94"/>
      <c r="G146" s="94"/>
      <c r="H146" s="94"/>
      <c r="I146" s="94"/>
      <c r="J146" s="94"/>
      <c r="K146" s="94"/>
      <c r="L146" s="54"/>
      <c r="O146" s="10"/>
      <c r="P146" s="10"/>
      <c r="Q146" s="10"/>
      <c r="R146" s="10"/>
      <c r="S146" s="10"/>
      <c r="T146" s="10"/>
      <c r="U146" s="10"/>
    </row>
    <row r="147" spans="1:21" s="38" customFormat="1" x14ac:dyDescent="0.3">
      <c r="A147" s="49"/>
      <c r="B147" s="625" t="str">
        <f>IF(Intro!$G$20="English",O147,P147)</f>
        <v>If your firm is a distributor, indicate the primary industries in which the goods are sold.</v>
      </c>
      <c r="C147" s="626"/>
      <c r="D147" s="626"/>
      <c r="E147" s="626"/>
      <c r="F147" s="626"/>
      <c r="G147" s="626"/>
      <c r="H147" s="626"/>
      <c r="I147" s="626"/>
      <c r="J147" s="626"/>
      <c r="K147" s="626"/>
      <c r="L147" s="627"/>
      <c r="O147" s="10" t="s">
        <v>536</v>
      </c>
      <c r="P147" s="10" t="s">
        <v>537</v>
      </c>
      <c r="Q147" s="10"/>
      <c r="R147" s="10"/>
      <c r="S147" s="10"/>
      <c r="T147" s="10"/>
      <c r="U147" s="10"/>
    </row>
    <row r="148" spans="1:21" s="38" customFormat="1" x14ac:dyDescent="0.3">
      <c r="A148" s="49"/>
      <c r="B148" s="625" t="str">
        <f>IF(Intro!$G$20="English",O148,P148)</f>
        <v>If your firm is an end user, indicate your primary industries.</v>
      </c>
      <c r="C148" s="626"/>
      <c r="D148" s="626"/>
      <c r="E148" s="626"/>
      <c r="F148" s="626"/>
      <c r="G148" s="626"/>
      <c r="H148" s="626"/>
      <c r="I148" s="626"/>
      <c r="J148" s="626"/>
      <c r="K148" s="626"/>
      <c r="L148" s="627"/>
      <c r="O148" s="10" t="s">
        <v>539</v>
      </c>
      <c r="P148" s="10" t="s">
        <v>538</v>
      </c>
      <c r="Q148" s="10"/>
      <c r="R148" s="10"/>
      <c r="S148" s="10"/>
      <c r="T148" s="10"/>
      <c r="U148" s="10"/>
    </row>
    <row r="149" spans="1:21" s="38" customFormat="1" x14ac:dyDescent="0.3">
      <c r="A149" s="49"/>
      <c r="B149" s="53"/>
      <c r="C149" s="94"/>
      <c r="D149" s="94"/>
      <c r="E149" s="94"/>
      <c r="F149" s="94"/>
      <c r="G149" s="94"/>
      <c r="H149" s="94"/>
      <c r="I149" s="94"/>
      <c r="J149" s="94"/>
      <c r="K149" s="94"/>
      <c r="L149" s="54"/>
      <c r="O149" s="10"/>
      <c r="P149" s="10"/>
      <c r="Q149" s="10"/>
      <c r="R149" s="10"/>
      <c r="S149" s="10"/>
      <c r="T149" s="10"/>
      <c r="U149" s="10"/>
    </row>
    <row r="150" spans="1:21" x14ac:dyDescent="0.3">
      <c r="B150" s="540" t="str">
        <f>IF(Intro!$G$20="English",O150,P150)</f>
        <v xml:space="preserve">Primary Industry 1 </v>
      </c>
      <c r="C150" s="541"/>
      <c r="D150" s="562"/>
      <c r="E150" s="562"/>
      <c r="F150" s="562"/>
      <c r="G150" s="562"/>
      <c r="H150" s="562"/>
      <c r="I150" s="562"/>
      <c r="J150" s="562"/>
      <c r="K150" s="562"/>
      <c r="L150" s="563"/>
      <c r="M150" s="10"/>
      <c r="O150" s="10" t="s">
        <v>159</v>
      </c>
      <c r="P150" s="10" t="s">
        <v>160</v>
      </c>
    </row>
    <row r="151" spans="1:21" x14ac:dyDescent="0.3">
      <c r="B151" s="540"/>
      <c r="C151" s="541"/>
      <c r="D151" s="562"/>
      <c r="E151" s="562"/>
      <c r="F151" s="562"/>
      <c r="G151" s="562"/>
      <c r="H151" s="562"/>
      <c r="I151" s="562"/>
      <c r="J151" s="562"/>
      <c r="K151" s="562"/>
      <c r="L151" s="563"/>
      <c r="M151" s="10"/>
    </row>
    <row r="152" spans="1:21" x14ac:dyDescent="0.3">
      <c r="B152" s="540"/>
      <c r="C152" s="541"/>
      <c r="D152" s="562"/>
      <c r="E152" s="562"/>
      <c r="F152" s="562"/>
      <c r="G152" s="562"/>
      <c r="H152" s="562"/>
      <c r="I152" s="562"/>
      <c r="J152" s="562"/>
      <c r="K152" s="562"/>
      <c r="L152" s="563"/>
      <c r="M152" s="10"/>
    </row>
    <row r="153" spans="1:21" x14ac:dyDescent="0.3">
      <c r="B153" s="540"/>
      <c r="C153" s="541"/>
      <c r="D153" s="562"/>
      <c r="E153" s="562"/>
      <c r="F153" s="562"/>
      <c r="G153" s="562"/>
      <c r="H153" s="562"/>
      <c r="I153" s="562"/>
      <c r="J153" s="562"/>
      <c r="K153" s="562"/>
      <c r="L153" s="563"/>
      <c r="M153" s="10"/>
    </row>
    <row r="154" spans="1:21" x14ac:dyDescent="0.3">
      <c r="B154" s="540"/>
      <c r="C154" s="541"/>
      <c r="D154" s="562"/>
      <c r="E154" s="562"/>
      <c r="F154" s="562"/>
      <c r="G154" s="562"/>
      <c r="H154" s="562"/>
      <c r="I154" s="562"/>
      <c r="J154" s="562"/>
      <c r="K154" s="562"/>
      <c r="L154" s="563"/>
      <c r="M154" s="10"/>
    </row>
    <row r="155" spans="1:21" x14ac:dyDescent="0.3">
      <c r="B155" s="540" t="str">
        <f>IF(Intro!$G$20="English",O155,P155)</f>
        <v>Primary Industry 2</v>
      </c>
      <c r="C155" s="541"/>
      <c r="D155" s="562"/>
      <c r="E155" s="562"/>
      <c r="F155" s="562"/>
      <c r="G155" s="562"/>
      <c r="H155" s="562"/>
      <c r="I155" s="562"/>
      <c r="J155" s="562"/>
      <c r="K155" s="562"/>
      <c r="L155" s="563"/>
      <c r="M155" s="10"/>
      <c r="O155" s="10" t="s">
        <v>161</v>
      </c>
      <c r="P155" s="10" t="s">
        <v>162</v>
      </c>
    </row>
    <row r="156" spans="1:21" x14ac:dyDescent="0.3">
      <c r="B156" s="540"/>
      <c r="C156" s="541"/>
      <c r="D156" s="562"/>
      <c r="E156" s="562"/>
      <c r="F156" s="562"/>
      <c r="G156" s="562"/>
      <c r="H156" s="562"/>
      <c r="I156" s="562"/>
      <c r="J156" s="562"/>
      <c r="K156" s="562"/>
      <c r="L156" s="563"/>
      <c r="M156" s="10"/>
    </row>
    <row r="157" spans="1:21" x14ac:dyDescent="0.3">
      <c r="B157" s="540"/>
      <c r="C157" s="541"/>
      <c r="D157" s="562"/>
      <c r="E157" s="562"/>
      <c r="F157" s="562"/>
      <c r="G157" s="562"/>
      <c r="H157" s="562"/>
      <c r="I157" s="562"/>
      <c r="J157" s="562"/>
      <c r="K157" s="562"/>
      <c r="L157" s="563"/>
      <c r="M157" s="10"/>
    </row>
    <row r="158" spans="1:21" x14ac:dyDescent="0.3">
      <c r="B158" s="540"/>
      <c r="C158" s="541"/>
      <c r="D158" s="562"/>
      <c r="E158" s="562"/>
      <c r="F158" s="562"/>
      <c r="G158" s="562"/>
      <c r="H158" s="562"/>
      <c r="I158" s="562"/>
      <c r="J158" s="562"/>
      <c r="K158" s="562"/>
      <c r="L158" s="563"/>
      <c r="M158" s="10"/>
    </row>
    <row r="159" spans="1:21" x14ac:dyDescent="0.3">
      <c r="B159" s="540"/>
      <c r="C159" s="541"/>
      <c r="D159" s="562"/>
      <c r="E159" s="562"/>
      <c r="F159" s="562"/>
      <c r="G159" s="562"/>
      <c r="H159" s="562"/>
      <c r="I159" s="562"/>
      <c r="J159" s="562"/>
      <c r="K159" s="562"/>
      <c r="L159" s="563"/>
      <c r="M159" s="10"/>
    </row>
    <row r="160" spans="1:21" x14ac:dyDescent="0.3">
      <c r="B160" s="540" t="str">
        <f>IF(Intro!$G$20="English",O160,P160)</f>
        <v>Primary Industry 3</v>
      </c>
      <c r="C160" s="541"/>
      <c r="D160" s="562"/>
      <c r="E160" s="562"/>
      <c r="F160" s="562"/>
      <c r="G160" s="562"/>
      <c r="H160" s="562"/>
      <c r="I160" s="562"/>
      <c r="J160" s="562"/>
      <c r="K160" s="562"/>
      <c r="L160" s="563"/>
      <c r="M160" s="10"/>
      <c r="O160" s="10" t="s">
        <v>163</v>
      </c>
      <c r="P160" s="10" t="s">
        <v>164</v>
      </c>
    </row>
    <row r="161" spans="1:21" x14ac:dyDescent="0.3">
      <c r="B161" s="540"/>
      <c r="C161" s="541"/>
      <c r="D161" s="562"/>
      <c r="E161" s="562"/>
      <c r="F161" s="562"/>
      <c r="G161" s="562"/>
      <c r="H161" s="562"/>
      <c r="I161" s="562"/>
      <c r="J161" s="562"/>
      <c r="K161" s="562"/>
      <c r="L161" s="563"/>
      <c r="M161" s="10"/>
    </row>
    <row r="162" spans="1:21" x14ac:dyDescent="0.3">
      <c r="B162" s="540"/>
      <c r="C162" s="541"/>
      <c r="D162" s="562"/>
      <c r="E162" s="562"/>
      <c r="F162" s="562"/>
      <c r="G162" s="562"/>
      <c r="H162" s="562"/>
      <c r="I162" s="562"/>
      <c r="J162" s="562"/>
      <c r="K162" s="562"/>
      <c r="L162" s="563"/>
      <c r="M162" s="10"/>
    </row>
    <row r="163" spans="1:21" x14ac:dyDescent="0.3">
      <c r="B163" s="540"/>
      <c r="C163" s="541"/>
      <c r="D163" s="562"/>
      <c r="E163" s="562"/>
      <c r="F163" s="562"/>
      <c r="G163" s="562"/>
      <c r="H163" s="562"/>
      <c r="I163" s="562"/>
      <c r="J163" s="562"/>
      <c r="K163" s="562"/>
      <c r="L163" s="563"/>
      <c r="M163" s="10"/>
    </row>
    <row r="164" spans="1:21" x14ac:dyDescent="0.3">
      <c r="B164" s="540"/>
      <c r="C164" s="541"/>
      <c r="D164" s="562"/>
      <c r="E164" s="562"/>
      <c r="F164" s="562"/>
      <c r="G164" s="562"/>
      <c r="H164" s="562"/>
      <c r="I164" s="562"/>
      <c r="J164" s="562"/>
      <c r="K164" s="562"/>
      <c r="L164" s="563"/>
      <c r="M164" s="10"/>
    </row>
    <row r="165" spans="1:21" s="38" customFormat="1" x14ac:dyDescent="0.3">
      <c r="A165" s="49"/>
      <c r="B165" s="50"/>
      <c r="C165" s="51"/>
      <c r="D165" s="51"/>
      <c r="E165" s="51"/>
      <c r="F165" s="51"/>
      <c r="G165" s="51"/>
      <c r="H165" s="51"/>
      <c r="I165" s="51"/>
      <c r="J165" s="51"/>
      <c r="K165" s="51"/>
      <c r="L165" s="52"/>
      <c r="O165" s="10"/>
      <c r="P165" s="10"/>
      <c r="Q165" s="10"/>
      <c r="R165" s="10"/>
      <c r="S165" s="10"/>
      <c r="T165" s="10"/>
      <c r="U165" s="10"/>
    </row>
    <row r="166" spans="1:21" s="11" customFormat="1" x14ac:dyDescent="0.3">
      <c r="A166" s="7"/>
      <c r="B166" s="650" t="s">
        <v>23</v>
      </c>
      <c r="C166" s="651"/>
      <c r="D166" s="651"/>
      <c r="E166" s="651"/>
      <c r="F166" s="651"/>
      <c r="G166" s="651"/>
      <c r="H166" s="651"/>
      <c r="I166" s="651"/>
      <c r="J166" s="651"/>
      <c r="K166" s="651"/>
      <c r="L166" s="652"/>
      <c r="M166" s="73"/>
    </row>
    <row r="167" spans="1:21" s="38" customFormat="1" x14ac:dyDescent="0.3">
      <c r="A167" s="95"/>
      <c r="B167" s="53"/>
      <c r="C167" s="94"/>
      <c r="D167" s="94"/>
      <c r="E167" s="94"/>
      <c r="F167" s="94"/>
      <c r="G167" s="94"/>
      <c r="H167" s="94"/>
      <c r="I167" s="94"/>
      <c r="J167" s="94"/>
      <c r="K167" s="94"/>
      <c r="L167" s="54"/>
      <c r="O167" s="10"/>
      <c r="P167" s="10"/>
      <c r="Q167" s="10"/>
      <c r="R167" s="10"/>
      <c r="S167" s="10"/>
      <c r="T167" s="10"/>
      <c r="U167" s="10"/>
    </row>
    <row r="168" spans="1:21" s="38" customFormat="1" x14ac:dyDescent="0.3">
      <c r="A168" s="49"/>
      <c r="B168" s="500" t="str">
        <f>IF(Intro!$G$20="English",O168,P168)</f>
        <v>Describe whether there is seasonality in the Canadian market for the goods. Describe any seasonal patterns in your firm's imports, inventory or sales of imports in Canada.</v>
      </c>
      <c r="C168" s="501"/>
      <c r="D168" s="501"/>
      <c r="E168" s="501"/>
      <c r="F168" s="501"/>
      <c r="G168" s="501"/>
      <c r="H168" s="501"/>
      <c r="I168" s="501"/>
      <c r="J168" s="501"/>
      <c r="K168" s="501"/>
      <c r="L168" s="502"/>
      <c r="O168" s="10" t="s">
        <v>185</v>
      </c>
      <c r="P168" s="10" t="s">
        <v>186</v>
      </c>
      <c r="Q168" s="10"/>
      <c r="R168" s="10"/>
      <c r="S168" s="10"/>
      <c r="T168" s="10"/>
      <c r="U168" s="10"/>
    </row>
    <row r="169" spans="1:21" s="38" customFormat="1" x14ac:dyDescent="0.3">
      <c r="A169" s="49"/>
      <c r="B169" s="500"/>
      <c r="C169" s="501"/>
      <c r="D169" s="501"/>
      <c r="E169" s="501"/>
      <c r="F169" s="501"/>
      <c r="G169" s="501"/>
      <c r="H169" s="501"/>
      <c r="I169" s="501"/>
      <c r="J169" s="501"/>
      <c r="K169" s="501"/>
      <c r="L169" s="502"/>
      <c r="O169" s="10"/>
      <c r="P169" s="10"/>
      <c r="Q169" s="10"/>
      <c r="R169" s="10"/>
      <c r="S169" s="10"/>
      <c r="T169" s="10"/>
      <c r="U169" s="10"/>
    </row>
    <row r="170" spans="1:21" s="38" customFormat="1" x14ac:dyDescent="0.3">
      <c r="A170" s="95"/>
      <c r="B170" s="53"/>
      <c r="C170" s="94"/>
      <c r="D170" s="94"/>
      <c r="E170" s="94"/>
      <c r="F170" s="94"/>
      <c r="G170" s="94"/>
      <c r="H170" s="94"/>
      <c r="I170" s="94"/>
      <c r="J170" s="94"/>
      <c r="K170" s="94"/>
      <c r="L170" s="54"/>
      <c r="O170" s="10"/>
      <c r="P170" s="10"/>
      <c r="Q170" s="10"/>
      <c r="R170" s="10"/>
      <c r="S170" s="10"/>
      <c r="T170" s="10"/>
      <c r="U170" s="10"/>
    </row>
    <row r="171" spans="1:21" s="11" customFormat="1" x14ac:dyDescent="0.3">
      <c r="A171" s="8"/>
      <c r="B171" s="639"/>
      <c r="C171" s="640"/>
      <c r="D171" s="640"/>
      <c r="E171" s="640"/>
      <c r="F171" s="640"/>
      <c r="G171" s="640"/>
      <c r="H171" s="640"/>
      <c r="I171" s="640"/>
      <c r="J171" s="640"/>
      <c r="K171" s="640"/>
      <c r="L171" s="641"/>
      <c r="M171" s="38"/>
      <c r="Q171" s="10"/>
    </row>
    <row r="172" spans="1:21" s="11" customFormat="1" x14ac:dyDescent="0.3">
      <c r="A172" s="8"/>
      <c r="B172" s="639"/>
      <c r="C172" s="640"/>
      <c r="D172" s="640"/>
      <c r="E172" s="640"/>
      <c r="F172" s="640"/>
      <c r="G172" s="640"/>
      <c r="H172" s="640"/>
      <c r="I172" s="640"/>
      <c r="J172" s="640"/>
      <c r="K172" s="640"/>
      <c r="L172" s="641"/>
      <c r="M172" s="38"/>
      <c r="Q172" s="10"/>
    </row>
    <row r="173" spans="1:21" s="11" customFormat="1" x14ac:dyDescent="0.3">
      <c r="A173" s="8"/>
      <c r="B173" s="639"/>
      <c r="C173" s="640"/>
      <c r="D173" s="640"/>
      <c r="E173" s="640"/>
      <c r="F173" s="640"/>
      <c r="G173" s="640"/>
      <c r="H173" s="640"/>
      <c r="I173" s="640"/>
      <c r="J173" s="640"/>
      <c r="K173" s="640"/>
      <c r="L173" s="641"/>
      <c r="M173" s="38"/>
      <c r="Q173" s="10"/>
    </row>
    <row r="174" spans="1:21" s="11" customFormat="1" x14ac:dyDescent="0.3">
      <c r="A174" s="8"/>
      <c r="B174" s="639"/>
      <c r="C174" s="640"/>
      <c r="D174" s="640"/>
      <c r="E174" s="640"/>
      <c r="F174" s="640"/>
      <c r="G174" s="640"/>
      <c r="H174" s="640"/>
      <c r="I174" s="640"/>
      <c r="J174" s="640"/>
      <c r="K174" s="640"/>
      <c r="L174" s="641"/>
      <c r="M174" s="38"/>
      <c r="Q174" s="10"/>
    </row>
    <row r="175" spans="1:21" s="11" customFormat="1" x14ac:dyDescent="0.3">
      <c r="A175" s="8"/>
      <c r="B175" s="639"/>
      <c r="C175" s="640"/>
      <c r="D175" s="640"/>
      <c r="E175" s="640"/>
      <c r="F175" s="640"/>
      <c r="G175" s="640"/>
      <c r="H175" s="640"/>
      <c r="I175" s="640"/>
      <c r="J175" s="640"/>
      <c r="K175" s="640"/>
      <c r="L175" s="641"/>
      <c r="M175" s="38"/>
      <c r="Q175" s="10"/>
    </row>
    <row r="176" spans="1:21" s="11" customFormat="1" x14ac:dyDescent="0.3">
      <c r="A176" s="8"/>
      <c r="B176" s="639"/>
      <c r="C176" s="640"/>
      <c r="D176" s="640"/>
      <c r="E176" s="640"/>
      <c r="F176" s="640"/>
      <c r="G176" s="640"/>
      <c r="H176" s="640"/>
      <c r="I176" s="640"/>
      <c r="J176" s="640"/>
      <c r="K176" s="640"/>
      <c r="L176" s="641"/>
      <c r="M176" s="38"/>
      <c r="Q176" s="10"/>
    </row>
    <row r="177" spans="1:21" s="11" customFormat="1" x14ac:dyDescent="0.3">
      <c r="A177" s="8"/>
      <c r="B177" s="639"/>
      <c r="C177" s="640"/>
      <c r="D177" s="640"/>
      <c r="E177" s="640"/>
      <c r="F177" s="640"/>
      <c r="G177" s="640"/>
      <c r="H177" s="640"/>
      <c r="I177" s="640"/>
      <c r="J177" s="640"/>
      <c r="K177" s="640"/>
      <c r="L177" s="641"/>
      <c r="M177" s="38"/>
      <c r="Q177" s="10"/>
    </row>
    <row r="178" spans="1:21" s="11" customFormat="1" x14ac:dyDescent="0.3">
      <c r="A178" s="8"/>
      <c r="B178" s="639"/>
      <c r="C178" s="640"/>
      <c r="D178" s="640"/>
      <c r="E178" s="640"/>
      <c r="F178" s="640"/>
      <c r="G178" s="640"/>
      <c r="H178" s="640"/>
      <c r="I178" s="640"/>
      <c r="J178" s="640"/>
      <c r="K178" s="640"/>
      <c r="L178" s="641"/>
      <c r="M178" s="38"/>
      <c r="Q178" s="10"/>
    </row>
    <row r="179" spans="1:21" s="38" customFormat="1" x14ac:dyDescent="0.3">
      <c r="A179" s="95"/>
      <c r="B179" s="50"/>
      <c r="C179" s="51"/>
      <c r="D179" s="51"/>
      <c r="E179" s="51"/>
      <c r="F179" s="51"/>
      <c r="G179" s="51"/>
      <c r="H179" s="51"/>
      <c r="I179" s="51"/>
      <c r="J179" s="51"/>
      <c r="K179" s="51"/>
      <c r="L179" s="52"/>
      <c r="O179" s="10"/>
      <c r="P179" s="10"/>
      <c r="Q179" s="10"/>
      <c r="R179" s="10"/>
      <c r="S179" s="10"/>
      <c r="T179" s="10"/>
      <c r="U179" s="10"/>
    </row>
    <row r="180" spans="1:21" s="11" customFormat="1" x14ac:dyDescent="0.3">
      <c r="A180" s="7"/>
      <c r="B180" s="650" t="s">
        <v>24</v>
      </c>
      <c r="C180" s="651"/>
      <c r="D180" s="651"/>
      <c r="E180" s="651"/>
      <c r="F180" s="651"/>
      <c r="G180" s="651"/>
      <c r="H180" s="651"/>
      <c r="I180" s="651"/>
      <c r="J180" s="651"/>
      <c r="K180" s="651"/>
      <c r="L180" s="652"/>
      <c r="M180" s="73"/>
    </row>
    <row r="181" spans="1:21" s="38" customFormat="1" x14ac:dyDescent="0.3">
      <c r="A181" s="95"/>
      <c r="B181" s="53"/>
      <c r="C181" s="94"/>
      <c r="D181" s="94"/>
      <c r="E181" s="94"/>
      <c r="F181" s="94"/>
      <c r="G181" s="94"/>
      <c r="H181" s="94"/>
      <c r="I181" s="94"/>
      <c r="J181" s="94"/>
      <c r="K181" s="94"/>
      <c r="L181" s="54"/>
      <c r="O181" s="10"/>
      <c r="P181" s="10"/>
      <c r="Q181" s="10"/>
      <c r="R181" s="10"/>
      <c r="S181" s="10"/>
      <c r="T181" s="10"/>
      <c r="U181" s="10"/>
    </row>
    <row r="182" spans="1:21" s="38" customFormat="1" x14ac:dyDescent="0.3">
      <c r="A182" s="95"/>
      <c r="B182" s="500" t="str">
        <f>IF(Intro!$G$20="English",O182,P182)</f>
        <v>What have been the principal factors affecting the demand for the goods since January 1, 2023 (e.g., user preferences, government policy, economic conditions, exchange rate)?</v>
      </c>
      <c r="C182" s="501"/>
      <c r="D182" s="501"/>
      <c r="E182" s="501"/>
      <c r="F182" s="501"/>
      <c r="G182" s="501"/>
      <c r="H182" s="501"/>
      <c r="I182" s="501"/>
      <c r="J182" s="501"/>
      <c r="K182" s="501"/>
      <c r="L182" s="502"/>
      <c r="O182" s="10"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2" s="10"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2" s="10"/>
      <c r="R182" s="10"/>
      <c r="S182" s="10"/>
      <c r="T182" s="10"/>
      <c r="U182" s="10"/>
    </row>
    <row r="183" spans="1:21" s="38" customFormat="1" x14ac:dyDescent="0.3">
      <c r="A183" s="95"/>
      <c r="B183" s="500"/>
      <c r="C183" s="501"/>
      <c r="D183" s="501"/>
      <c r="E183" s="501"/>
      <c r="F183" s="501"/>
      <c r="G183" s="501"/>
      <c r="H183" s="501"/>
      <c r="I183" s="501"/>
      <c r="J183" s="501"/>
      <c r="K183" s="501"/>
      <c r="L183" s="502"/>
      <c r="O183" s="10"/>
      <c r="P183" s="10"/>
      <c r="Q183" s="10"/>
      <c r="R183" s="10"/>
      <c r="S183" s="10"/>
      <c r="T183" s="10"/>
      <c r="U183" s="10"/>
    </row>
    <row r="184" spans="1:21" s="38" customFormat="1" x14ac:dyDescent="0.3">
      <c r="A184" s="95"/>
      <c r="B184" s="53"/>
      <c r="C184" s="94"/>
      <c r="D184" s="94"/>
      <c r="E184" s="94"/>
      <c r="F184" s="94"/>
      <c r="G184" s="94"/>
      <c r="H184" s="94"/>
      <c r="I184" s="94"/>
      <c r="J184" s="94"/>
      <c r="K184" s="94"/>
      <c r="L184" s="54"/>
      <c r="O184" s="10"/>
      <c r="P184" s="10"/>
      <c r="Q184" s="10"/>
      <c r="R184" s="10"/>
      <c r="S184" s="10"/>
      <c r="T184" s="10"/>
      <c r="U184" s="10"/>
    </row>
    <row r="185" spans="1:21" s="11" customFormat="1" x14ac:dyDescent="0.3">
      <c r="A185" s="8"/>
      <c r="B185" s="639"/>
      <c r="C185" s="640"/>
      <c r="D185" s="640"/>
      <c r="E185" s="640"/>
      <c r="F185" s="640"/>
      <c r="G185" s="640"/>
      <c r="H185" s="640"/>
      <c r="I185" s="640"/>
      <c r="J185" s="640"/>
      <c r="K185" s="640"/>
      <c r="L185" s="641"/>
      <c r="M185" s="38"/>
      <c r="Q185" s="10"/>
    </row>
    <row r="186" spans="1:21" s="11" customFormat="1" x14ac:dyDescent="0.3">
      <c r="A186" s="8"/>
      <c r="B186" s="639"/>
      <c r="C186" s="640"/>
      <c r="D186" s="640"/>
      <c r="E186" s="640"/>
      <c r="F186" s="640"/>
      <c r="G186" s="640"/>
      <c r="H186" s="640"/>
      <c r="I186" s="640"/>
      <c r="J186" s="640"/>
      <c r="K186" s="640"/>
      <c r="L186" s="641"/>
      <c r="M186" s="38"/>
      <c r="Q186" s="10"/>
    </row>
    <row r="187" spans="1:21" s="11" customFormat="1" x14ac:dyDescent="0.3">
      <c r="A187" s="8"/>
      <c r="B187" s="639"/>
      <c r="C187" s="640"/>
      <c r="D187" s="640"/>
      <c r="E187" s="640"/>
      <c r="F187" s="640"/>
      <c r="G187" s="640"/>
      <c r="H187" s="640"/>
      <c r="I187" s="640"/>
      <c r="J187" s="640"/>
      <c r="K187" s="640"/>
      <c r="L187" s="641"/>
      <c r="M187" s="38"/>
      <c r="Q187" s="10"/>
    </row>
    <row r="188" spans="1:21" s="11" customFormat="1" x14ac:dyDescent="0.3">
      <c r="A188" s="8"/>
      <c r="B188" s="639"/>
      <c r="C188" s="640"/>
      <c r="D188" s="640"/>
      <c r="E188" s="640"/>
      <c r="F188" s="640"/>
      <c r="G188" s="640"/>
      <c r="H188" s="640"/>
      <c r="I188" s="640"/>
      <c r="J188" s="640"/>
      <c r="K188" s="640"/>
      <c r="L188" s="641"/>
      <c r="M188" s="38"/>
      <c r="Q188" s="10"/>
    </row>
    <row r="189" spans="1:21" s="11" customFormat="1" x14ac:dyDescent="0.3">
      <c r="A189" s="8"/>
      <c r="B189" s="639"/>
      <c r="C189" s="640"/>
      <c r="D189" s="640"/>
      <c r="E189" s="640"/>
      <c r="F189" s="640"/>
      <c r="G189" s="640"/>
      <c r="H189" s="640"/>
      <c r="I189" s="640"/>
      <c r="J189" s="640"/>
      <c r="K189" s="640"/>
      <c r="L189" s="641"/>
      <c r="M189" s="38"/>
      <c r="Q189" s="10"/>
    </row>
    <row r="190" spans="1:21" s="11" customFormat="1" x14ac:dyDescent="0.3">
      <c r="A190" s="8"/>
      <c r="B190" s="639"/>
      <c r="C190" s="640"/>
      <c r="D190" s="640"/>
      <c r="E190" s="640"/>
      <c r="F190" s="640"/>
      <c r="G190" s="640"/>
      <c r="H190" s="640"/>
      <c r="I190" s="640"/>
      <c r="J190" s="640"/>
      <c r="K190" s="640"/>
      <c r="L190" s="641"/>
      <c r="M190" s="38"/>
      <c r="Q190" s="10"/>
    </row>
    <row r="191" spans="1:21" s="11" customFormat="1" x14ac:dyDescent="0.3">
      <c r="A191" s="8"/>
      <c r="B191" s="639"/>
      <c r="C191" s="640"/>
      <c r="D191" s="640"/>
      <c r="E191" s="640"/>
      <c r="F191" s="640"/>
      <c r="G191" s="640"/>
      <c r="H191" s="640"/>
      <c r="I191" s="640"/>
      <c r="J191" s="640"/>
      <c r="K191" s="640"/>
      <c r="L191" s="641"/>
      <c r="M191" s="38"/>
      <c r="Q191" s="10"/>
    </row>
    <row r="192" spans="1:21" s="11" customFormat="1" x14ac:dyDescent="0.3">
      <c r="A192" s="8"/>
      <c r="B192" s="639"/>
      <c r="C192" s="640"/>
      <c r="D192" s="640"/>
      <c r="E192" s="640"/>
      <c r="F192" s="640"/>
      <c r="G192" s="640"/>
      <c r="H192" s="640"/>
      <c r="I192" s="640"/>
      <c r="J192" s="640"/>
      <c r="K192" s="640"/>
      <c r="L192" s="641"/>
      <c r="M192" s="38"/>
      <c r="Q192" s="10"/>
    </row>
    <row r="193" spans="1:21" s="38" customFormat="1" x14ac:dyDescent="0.3">
      <c r="A193" s="95"/>
      <c r="B193" s="50"/>
      <c r="C193" s="51"/>
      <c r="D193" s="51"/>
      <c r="E193" s="51"/>
      <c r="F193" s="51"/>
      <c r="G193" s="51"/>
      <c r="H193" s="51"/>
      <c r="I193" s="51"/>
      <c r="J193" s="51"/>
      <c r="K193" s="51"/>
      <c r="L193" s="52"/>
      <c r="O193" s="10"/>
      <c r="P193" s="10"/>
      <c r="Q193" s="10"/>
      <c r="R193" s="10"/>
      <c r="S193" s="10"/>
      <c r="T193" s="10"/>
      <c r="U193" s="10"/>
    </row>
    <row r="194" spans="1:21" s="11" customFormat="1" x14ac:dyDescent="0.3">
      <c r="A194" s="7"/>
      <c r="B194" s="650" t="s">
        <v>26</v>
      </c>
      <c r="C194" s="651"/>
      <c r="D194" s="651"/>
      <c r="E194" s="651"/>
      <c r="F194" s="651"/>
      <c r="G194" s="651"/>
      <c r="H194" s="651"/>
      <c r="I194" s="651"/>
      <c r="J194" s="651"/>
      <c r="K194" s="651"/>
      <c r="L194" s="652"/>
      <c r="M194" s="73"/>
    </row>
    <row r="195" spans="1:21" s="38" customFormat="1" x14ac:dyDescent="0.3">
      <c r="A195" s="95"/>
      <c r="B195" s="53"/>
      <c r="C195" s="94"/>
      <c r="D195" s="94"/>
      <c r="E195" s="94"/>
      <c r="F195" s="94"/>
      <c r="G195" s="94"/>
      <c r="H195" s="94"/>
      <c r="I195" s="94"/>
      <c r="J195" s="94"/>
      <c r="K195" s="94"/>
      <c r="L195" s="54"/>
      <c r="O195" s="10"/>
      <c r="P195" s="10"/>
      <c r="Q195" s="10"/>
      <c r="R195" s="10"/>
      <c r="S195" s="10"/>
      <c r="T195" s="10"/>
      <c r="U195" s="10"/>
    </row>
    <row r="196" spans="1:21" s="38" customFormat="1" x14ac:dyDescent="0.3">
      <c r="A196" s="95"/>
      <c r="B196" s="625" t="str">
        <f>IF(Intro!$G$20="English",O196,P196)</f>
        <v>Describe any changes in technology that have impacted the Canadian market for the goods since January 1, 2023.</v>
      </c>
      <c r="C196" s="626"/>
      <c r="D196" s="626"/>
      <c r="E196" s="626"/>
      <c r="F196" s="626"/>
      <c r="G196" s="626"/>
      <c r="H196" s="626"/>
      <c r="I196" s="626"/>
      <c r="J196" s="626"/>
      <c r="K196" s="626"/>
      <c r="L196" s="627"/>
      <c r="O196" s="10" t="str">
        <f>"Describe any changes in technology that have impacted the Canadian market for the goods since January 1, "&amp;Variables!B6&amp;"."</f>
        <v>Describe any changes in technology that have impacted the Canadian market for the goods since January 1, 2023.</v>
      </c>
      <c r="P196" s="10"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96" s="10"/>
      <c r="R196" s="10"/>
      <c r="S196" s="10"/>
      <c r="T196" s="10"/>
      <c r="U196" s="10"/>
    </row>
    <row r="197" spans="1:21" s="38" customFormat="1" x14ac:dyDescent="0.3">
      <c r="A197" s="95"/>
      <c r="B197" s="53"/>
      <c r="C197" s="94"/>
      <c r="D197" s="94"/>
      <c r="E197" s="94"/>
      <c r="F197" s="94"/>
      <c r="G197" s="94"/>
      <c r="H197" s="94"/>
      <c r="I197" s="94"/>
      <c r="J197" s="94"/>
      <c r="K197" s="94"/>
      <c r="L197" s="54"/>
      <c r="O197" s="10"/>
      <c r="P197" s="10"/>
      <c r="Q197" s="10"/>
      <c r="R197" s="10"/>
      <c r="S197" s="10"/>
      <c r="T197" s="10"/>
      <c r="U197" s="10"/>
    </row>
    <row r="198" spans="1:21" s="11" customFormat="1" x14ac:dyDescent="0.3">
      <c r="A198" s="8"/>
      <c r="B198" s="639"/>
      <c r="C198" s="640"/>
      <c r="D198" s="640"/>
      <c r="E198" s="640"/>
      <c r="F198" s="640"/>
      <c r="G198" s="640"/>
      <c r="H198" s="640"/>
      <c r="I198" s="640"/>
      <c r="J198" s="640"/>
      <c r="K198" s="640"/>
      <c r="L198" s="641"/>
      <c r="M198" s="38"/>
      <c r="Q198" s="10"/>
    </row>
    <row r="199" spans="1:21" s="11" customFormat="1" x14ac:dyDescent="0.3">
      <c r="A199" s="8"/>
      <c r="B199" s="639"/>
      <c r="C199" s="640"/>
      <c r="D199" s="640"/>
      <c r="E199" s="640"/>
      <c r="F199" s="640"/>
      <c r="G199" s="640"/>
      <c r="H199" s="640"/>
      <c r="I199" s="640"/>
      <c r="J199" s="640"/>
      <c r="K199" s="640"/>
      <c r="L199" s="641"/>
      <c r="M199" s="38"/>
      <c r="Q199" s="10"/>
    </row>
    <row r="200" spans="1:21" s="11" customFormat="1" x14ac:dyDescent="0.3">
      <c r="A200" s="8"/>
      <c r="B200" s="639"/>
      <c r="C200" s="640"/>
      <c r="D200" s="640"/>
      <c r="E200" s="640"/>
      <c r="F200" s="640"/>
      <c r="G200" s="640"/>
      <c r="H200" s="640"/>
      <c r="I200" s="640"/>
      <c r="J200" s="640"/>
      <c r="K200" s="640"/>
      <c r="L200" s="641"/>
      <c r="M200" s="38"/>
      <c r="Q200" s="10"/>
    </row>
    <row r="201" spans="1:21" s="11" customFormat="1" x14ac:dyDescent="0.3">
      <c r="A201" s="8"/>
      <c r="B201" s="639"/>
      <c r="C201" s="640"/>
      <c r="D201" s="640"/>
      <c r="E201" s="640"/>
      <c r="F201" s="640"/>
      <c r="G201" s="640"/>
      <c r="H201" s="640"/>
      <c r="I201" s="640"/>
      <c r="J201" s="640"/>
      <c r="K201" s="640"/>
      <c r="L201" s="641"/>
      <c r="M201" s="38"/>
      <c r="Q201" s="10"/>
    </row>
    <row r="202" spans="1:21" s="11" customFormat="1" x14ac:dyDescent="0.3">
      <c r="A202" s="8"/>
      <c r="B202" s="639"/>
      <c r="C202" s="640"/>
      <c r="D202" s="640"/>
      <c r="E202" s="640"/>
      <c r="F202" s="640"/>
      <c r="G202" s="640"/>
      <c r="H202" s="640"/>
      <c r="I202" s="640"/>
      <c r="J202" s="640"/>
      <c r="K202" s="640"/>
      <c r="L202" s="641"/>
      <c r="M202" s="38"/>
      <c r="Q202" s="10"/>
    </row>
    <row r="203" spans="1:21" s="11" customFormat="1" x14ac:dyDescent="0.3">
      <c r="A203" s="8"/>
      <c r="B203" s="639"/>
      <c r="C203" s="640"/>
      <c r="D203" s="640"/>
      <c r="E203" s="640"/>
      <c r="F203" s="640"/>
      <c r="G203" s="640"/>
      <c r="H203" s="640"/>
      <c r="I203" s="640"/>
      <c r="J203" s="640"/>
      <c r="K203" s="640"/>
      <c r="L203" s="641"/>
      <c r="M203" s="38"/>
      <c r="Q203" s="10"/>
    </row>
    <row r="204" spans="1:21" s="11" customFormat="1" x14ac:dyDescent="0.3">
      <c r="A204" s="8"/>
      <c r="B204" s="639"/>
      <c r="C204" s="640"/>
      <c r="D204" s="640"/>
      <c r="E204" s="640"/>
      <c r="F204" s="640"/>
      <c r="G204" s="640"/>
      <c r="H204" s="640"/>
      <c r="I204" s="640"/>
      <c r="J204" s="640"/>
      <c r="K204" s="640"/>
      <c r="L204" s="641"/>
      <c r="M204" s="38"/>
      <c r="Q204" s="10"/>
    </row>
    <row r="205" spans="1:21" s="11" customFormat="1" x14ac:dyDescent="0.3">
      <c r="A205" s="8"/>
      <c r="B205" s="639"/>
      <c r="C205" s="640"/>
      <c r="D205" s="640"/>
      <c r="E205" s="640"/>
      <c r="F205" s="640"/>
      <c r="G205" s="640"/>
      <c r="H205" s="640"/>
      <c r="I205" s="640"/>
      <c r="J205" s="640"/>
      <c r="K205" s="640"/>
      <c r="L205" s="641"/>
      <c r="M205" s="38"/>
      <c r="Q205" s="10"/>
    </row>
    <row r="206" spans="1:21" s="38" customFormat="1" x14ac:dyDescent="0.3">
      <c r="A206" s="95"/>
      <c r="B206" s="50"/>
      <c r="C206" s="51"/>
      <c r="D206" s="51"/>
      <c r="E206" s="51"/>
      <c r="F206" s="51"/>
      <c r="G206" s="51"/>
      <c r="H206" s="51"/>
      <c r="I206" s="51"/>
      <c r="J206" s="51"/>
      <c r="K206" s="51"/>
      <c r="L206" s="52"/>
      <c r="O206" s="10"/>
      <c r="P206" s="10"/>
      <c r="Q206" s="10"/>
      <c r="R206" s="10"/>
      <c r="S206" s="10"/>
      <c r="T206" s="10"/>
      <c r="U206" s="10"/>
    </row>
    <row r="207" spans="1:21" s="11" customFormat="1" x14ac:dyDescent="0.3">
      <c r="A207" s="7"/>
      <c r="B207" s="650" t="s">
        <v>44</v>
      </c>
      <c r="C207" s="651"/>
      <c r="D207" s="651"/>
      <c r="E207" s="651"/>
      <c r="F207" s="651"/>
      <c r="G207" s="651"/>
      <c r="H207" s="651"/>
      <c r="I207" s="651"/>
      <c r="J207" s="651"/>
      <c r="K207" s="651"/>
      <c r="L207" s="652"/>
      <c r="M207" s="73"/>
    </row>
    <row r="208" spans="1:21" s="38" customFormat="1" x14ac:dyDescent="0.3">
      <c r="A208" s="95"/>
      <c r="B208" s="53"/>
      <c r="C208" s="94"/>
      <c r="D208" s="94"/>
      <c r="E208" s="94"/>
      <c r="F208" s="94"/>
      <c r="G208" s="94"/>
      <c r="H208" s="94"/>
      <c r="I208" s="94"/>
      <c r="J208" s="94"/>
      <c r="K208" s="94"/>
      <c r="L208" s="54"/>
      <c r="O208" s="10"/>
      <c r="P208" s="10"/>
      <c r="Q208" s="10"/>
      <c r="R208" s="10"/>
      <c r="S208" s="10"/>
      <c r="T208" s="10"/>
      <c r="U208" s="10"/>
    </row>
    <row r="209" spans="1:21" s="38" customFormat="1" x14ac:dyDescent="0.3">
      <c r="A209" s="95"/>
      <c r="B209" s="500" t="str">
        <f>IF(Intro!$G$20="English",O209,P209)</f>
        <v>Explain circumstances where Canadian purchasers are willing to pay a price premium for the goods produced in Canada and what the amount of that premium would be.</v>
      </c>
      <c r="C209" s="501"/>
      <c r="D209" s="501"/>
      <c r="E209" s="501"/>
      <c r="F209" s="501"/>
      <c r="G209" s="501"/>
      <c r="H209" s="501"/>
      <c r="I209" s="501"/>
      <c r="J209" s="501"/>
      <c r="K209" s="501"/>
      <c r="L209" s="502"/>
      <c r="O209" s="10" t="s">
        <v>158</v>
      </c>
      <c r="P209" s="10" t="s">
        <v>210</v>
      </c>
      <c r="Q209" s="10"/>
      <c r="R209" s="10"/>
      <c r="S209" s="10"/>
      <c r="T209" s="10"/>
      <c r="U209" s="10"/>
    </row>
    <row r="210" spans="1:21" s="38" customFormat="1" x14ac:dyDescent="0.3">
      <c r="A210" s="95"/>
      <c r="B210" s="53"/>
      <c r="C210" s="94"/>
      <c r="D210" s="94"/>
      <c r="E210" s="94"/>
      <c r="F210" s="94"/>
      <c r="G210" s="94"/>
      <c r="H210" s="94"/>
      <c r="I210" s="94"/>
      <c r="J210" s="94"/>
      <c r="K210" s="94"/>
      <c r="L210" s="54"/>
      <c r="O210" s="10"/>
      <c r="P210" s="10"/>
      <c r="Q210" s="10"/>
      <c r="R210" s="10"/>
      <c r="S210" s="10"/>
      <c r="T210" s="10"/>
      <c r="U210" s="10"/>
    </row>
    <row r="211" spans="1:21" x14ac:dyDescent="0.3">
      <c r="A211" s="7"/>
      <c r="B211" s="540" t="str">
        <f>IF(Intro!$G$20="English",O211,P211)</f>
        <v>Price Premium</v>
      </c>
      <c r="C211" s="541"/>
      <c r="D211" s="128" t="s">
        <v>123</v>
      </c>
      <c r="E211" s="155"/>
      <c r="F211" s="94"/>
      <c r="G211" s="94"/>
      <c r="H211" s="94"/>
      <c r="I211" s="94"/>
      <c r="J211" s="94"/>
      <c r="K211" s="94"/>
      <c r="L211" s="54"/>
      <c r="M211" s="10"/>
      <c r="O211" s="10" t="s">
        <v>124</v>
      </c>
      <c r="P211" s="10" t="s">
        <v>125</v>
      </c>
    </row>
    <row r="212" spans="1:21" s="38" customFormat="1" x14ac:dyDescent="0.3">
      <c r="A212" s="95"/>
      <c r="B212" s="53"/>
      <c r="C212" s="94"/>
      <c r="D212" s="94"/>
      <c r="E212" s="94"/>
      <c r="F212" s="94"/>
      <c r="G212" s="94"/>
      <c r="H212" s="94"/>
      <c r="I212" s="94"/>
      <c r="J212" s="94"/>
      <c r="K212" s="94"/>
      <c r="L212" s="54"/>
      <c r="O212" s="10"/>
      <c r="P212" s="10"/>
      <c r="Q212" s="10"/>
      <c r="R212" s="10"/>
      <c r="S212" s="10"/>
      <c r="T212" s="10"/>
      <c r="U212" s="10"/>
    </row>
    <row r="213" spans="1:21" s="11" customFormat="1" x14ac:dyDescent="0.3">
      <c r="A213" s="8"/>
      <c r="B213" s="639"/>
      <c r="C213" s="640"/>
      <c r="D213" s="640"/>
      <c r="E213" s="640"/>
      <c r="F213" s="640"/>
      <c r="G213" s="640"/>
      <c r="H213" s="640"/>
      <c r="I213" s="640"/>
      <c r="J213" s="640"/>
      <c r="K213" s="640"/>
      <c r="L213" s="641"/>
      <c r="M213" s="38"/>
      <c r="Q213" s="10"/>
    </row>
    <row r="214" spans="1:21" s="11" customFormat="1" x14ac:dyDescent="0.3">
      <c r="A214" s="8"/>
      <c r="B214" s="639"/>
      <c r="C214" s="640"/>
      <c r="D214" s="640"/>
      <c r="E214" s="640"/>
      <c r="F214" s="640"/>
      <c r="G214" s="640"/>
      <c r="H214" s="640"/>
      <c r="I214" s="640"/>
      <c r="J214" s="640"/>
      <c r="K214" s="640"/>
      <c r="L214" s="641"/>
      <c r="M214" s="38"/>
      <c r="Q214" s="10"/>
    </row>
    <row r="215" spans="1:21" s="11" customFormat="1" x14ac:dyDescent="0.3">
      <c r="A215" s="8"/>
      <c r="B215" s="639"/>
      <c r="C215" s="640"/>
      <c r="D215" s="640"/>
      <c r="E215" s="640"/>
      <c r="F215" s="640"/>
      <c r="G215" s="640"/>
      <c r="H215" s="640"/>
      <c r="I215" s="640"/>
      <c r="J215" s="640"/>
      <c r="K215" s="640"/>
      <c r="L215" s="641"/>
      <c r="M215" s="38"/>
      <c r="Q215" s="10"/>
    </row>
    <row r="216" spans="1:21" s="11" customFormat="1" x14ac:dyDescent="0.3">
      <c r="A216" s="8"/>
      <c r="B216" s="639"/>
      <c r="C216" s="640"/>
      <c r="D216" s="640"/>
      <c r="E216" s="640"/>
      <c r="F216" s="640"/>
      <c r="G216" s="640"/>
      <c r="H216" s="640"/>
      <c r="I216" s="640"/>
      <c r="J216" s="640"/>
      <c r="K216" s="640"/>
      <c r="L216" s="641"/>
      <c r="M216" s="38"/>
      <c r="Q216" s="10"/>
    </row>
    <row r="217" spans="1:21" s="11" customFormat="1" x14ac:dyDescent="0.3">
      <c r="A217" s="8"/>
      <c r="B217" s="639"/>
      <c r="C217" s="640"/>
      <c r="D217" s="640"/>
      <c r="E217" s="640"/>
      <c r="F217" s="640"/>
      <c r="G217" s="640"/>
      <c r="H217" s="640"/>
      <c r="I217" s="640"/>
      <c r="J217" s="640"/>
      <c r="K217" s="640"/>
      <c r="L217" s="641"/>
      <c r="M217" s="38"/>
      <c r="Q217" s="10"/>
    </row>
    <row r="218" spans="1:21" s="11" customFormat="1" x14ac:dyDescent="0.3">
      <c r="A218" s="8"/>
      <c r="B218" s="639"/>
      <c r="C218" s="640"/>
      <c r="D218" s="640"/>
      <c r="E218" s="640"/>
      <c r="F218" s="640"/>
      <c r="G218" s="640"/>
      <c r="H218" s="640"/>
      <c r="I218" s="640"/>
      <c r="J218" s="640"/>
      <c r="K218" s="640"/>
      <c r="L218" s="641"/>
      <c r="M218" s="38"/>
      <c r="Q218" s="10"/>
    </row>
    <row r="219" spans="1:21" s="11" customFormat="1" x14ac:dyDescent="0.3">
      <c r="A219" s="8"/>
      <c r="B219" s="639"/>
      <c r="C219" s="640"/>
      <c r="D219" s="640"/>
      <c r="E219" s="640"/>
      <c r="F219" s="640"/>
      <c r="G219" s="640"/>
      <c r="H219" s="640"/>
      <c r="I219" s="640"/>
      <c r="J219" s="640"/>
      <c r="K219" s="640"/>
      <c r="L219" s="641"/>
      <c r="M219" s="38"/>
      <c r="Q219" s="10"/>
    </row>
    <row r="220" spans="1:21" s="11" customFormat="1" x14ac:dyDescent="0.3">
      <c r="A220" s="8"/>
      <c r="B220" s="639"/>
      <c r="C220" s="640"/>
      <c r="D220" s="640"/>
      <c r="E220" s="640"/>
      <c r="F220" s="640"/>
      <c r="G220" s="640"/>
      <c r="H220" s="640"/>
      <c r="I220" s="640"/>
      <c r="J220" s="640"/>
      <c r="K220" s="640"/>
      <c r="L220" s="641"/>
      <c r="M220" s="38"/>
      <c r="Q220" s="10"/>
    </row>
    <row r="221" spans="1:21" s="38" customFormat="1" x14ac:dyDescent="0.3">
      <c r="A221" s="95"/>
      <c r="B221" s="50"/>
      <c r="C221" s="51"/>
      <c r="D221" s="51"/>
      <c r="E221" s="51"/>
      <c r="F221" s="51"/>
      <c r="G221" s="51"/>
      <c r="H221" s="51"/>
      <c r="I221" s="51"/>
      <c r="J221" s="51"/>
      <c r="K221" s="51"/>
      <c r="L221" s="52"/>
      <c r="O221" s="10"/>
      <c r="P221" s="10"/>
      <c r="Q221" s="10"/>
      <c r="R221" s="10"/>
      <c r="S221" s="10"/>
      <c r="T221" s="10"/>
      <c r="U221" s="10"/>
    </row>
    <row r="222" spans="1:21" s="11" customFormat="1" x14ac:dyDescent="0.3">
      <c r="A222" s="7"/>
      <c r="B222" s="650" t="s">
        <v>56</v>
      </c>
      <c r="C222" s="651"/>
      <c r="D222" s="651"/>
      <c r="E222" s="651"/>
      <c r="F222" s="651"/>
      <c r="G222" s="651"/>
      <c r="H222" s="651"/>
      <c r="I222" s="651"/>
      <c r="J222" s="651"/>
      <c r="K222" s="651"/>
      <c r="L222" s="652"/>
      <c r="M222" s="73"/>
    </row>
    <row r="223" spans="1:21" s="38" customFormat="1" x14ac:dyDescent="0.3">
      <c r="A223" s="95"/>
      <c r="B223" s="53"/>
      <c r="C223" s="94"/>
      <c r="D223" s="94"/>
      <c r="E223" s="94"/>
      <c r="F223" s="94"/>
      <c r="G223" s="94"/>
      <c r="H223" s="94"/>
      <c r="I223" s="94"/>
      <c r="J223" s="94"/>
      <c r="K223" s="94"/>
      <c r="L223" s="54"/>
      <c r="O223" s="10"/>
      <c r="P223" s="10"/>
      <c r="Q223" s="10"/>
      <c r="R223" s="10"/>
      <c r="S223" s="10"/>
      <c r="T223" s="10"/>
      <c r="U223" s="10"/>
    </row>
    <row r="224" spans="1:21" s="38" customFormat="1" x14ac:dyDescent="0.3">
      <c r="A224" s="95"/>
      <c r="B224" s="625" t="str">
        <f>IF(Intro!$G$20="English",O224,P224)</f>
        <v>To what extent are the goods produced in Canada interchangeable with the goods imported from China?</v>
      </c>
      <c r="C224" s="626"/>
      <c r="D224" s="626"/>
      <c r="E224" s="626"/>
      <c r="F224" s="626"/>
      <c r="G224" s="626"/>
      <c r="H224" s="626"/>
      <c r="I224" s="626"/>
      <c r="J224" s="626"/>
      <c r="K224" s="626"/>
      <c r="L224" s="627"/>
      <c r="O224" s="10" t="str">
        <f>"To what extent are the goods produced in Canada interchangeable with the goods imported from "&amp;Variables!B5&amp;"?"</f>
        <v>To what extent are the goods produced in Canada interchangeable with the goods imported from China?</v>
      </c>
      <c r="P224" s="10" t="str">
        <f>"Dans quelle mesure les marchandises produites au Canada sont-elles interchangeables avec les marchandises importées "&amp;Variables!C5&amp;"?"</f>
        <v>Dans quelle mesure les marchandises produites au Canada sont-elles interchangeables avec les marchandises importées de la Chine?</v>
      </c>
      <c r="Q224" s="10"/>
      <c r="R224" s="10"/>
      <c r="S224" s="10"/>
      <c r="T224" s="10"/>
      <c r="U224" s="10"/>
    </row>
    <row r="225" spans="1:21" s="38" customFormat="1" x14ac:dyDescent="0.3">
      <c r="A225" s="95"/>
      <c r="B225" s="53"/>
      <c r="C225" s="94"/>
      <c r="D225" s="94"/>
      <c r="E225" s="94"/>
      <c r="F225" s="94"/>
      <c r="G225" s="94"/>
      <c r="H225" s="94"/>
      <c r="I225" s="94"/>
      <c r="J225" s="94"/>
      <c r="K225" s="94"/>
      <c r="L225" s="54"/>
      <c r="O225" s="10"/>
      <c r="P225" s="10"/>
      <c r="Q225" s="10"/>
      <c r="R225" s="10"/>
      <c r="S225" s="10"/>
      <c r="T225" s="10"/>
      <c r="U225" s="10"/>
    </row>
    <row r="226" spans="1:21" s="11" customFormat="1" x14ac:dyDescent="0.3">
      <c r="A226" s="8"/>
      <c r="B226" s="639"/>
      <c r="C226" s="640"/>
      <c r="D226" s="640"/>
      <c r="E226" s="640"/>
      <c r="F226" s="640"/>
      <c r="G226" s="640"/>
      <c r="H226" s="640"/>
      <c r="I226" s="640"/>
      <c r="J226" s="640"/>
      <c r="K226" s="640"/>
      <c r="L226" s="641"/>
      <c r="M226" s="38"/>
      <c r="Q226" s="10"/>
    </row>
    <row r="227" spans="1:21" s="11" customFormat="1" x14ac:dyDescent="0.3">
      <c r="A227" s="8"/>
      <c r="B227" s="639"/>
      <c r="C227" s="640"/>
      <c r="D227" s="640"/>
      <c r="E227" s="640"/>
      <c r="F227" s="640"/>
      <c r="G227" s="640"/>
      <c r="H227" s="640"/>
      <c r="I227" s="640"/>
      <c r="J227" s="640"/>
      <c r="K227" s="640"/>
      <c r="L227" s="641"/>
      <c r="M227" s="38"/>
      <c r="Q227" s="10"/>
    </row>
    <row r="228" spans="1:21" s="11" customFormat="1" x14ac:dyDescent="0.3">
      <c r="A228" s="8"/>
      <c r="B228" s="639"/>
      <c r="C228" s="640"/>
      <c r="D228" s="640"/>
      <c r="E228" s="640"/>
      <c r="F228" s="640"/>
      <c r="G228" s="640"/>
      <c r="H228" s="640"/>
      <c r="I228" s="640"/>
      <c r="J228" s="640"/>
      <c r="K228" s="640"/>
      <c r="L228" s="641"/>
      <c r="M228" s="38"/>
      <c r="Q228" s="10"/>
    </row>
    <row r="229" spans="1:21" s="11" customFormat="1" x14ac:dyDescent="0.3">
      <c r="A229" s="8"/>
      <c r="B229" s="639"/>
      <c r="C229" s="640"/>
      <c r="D229" s="640"/>
      <c r="E229" s="640"/>
      <c r="F229" s="640"/>
      <c r="G229" s="640"/>
      <c r="H229" s="640"/>
      <c r="I229" s="640"/>
      <c r="J229" s="640"/>
      <c r="K229" s="640"/>
      <c r="L229" s="641"/>
      <c r="M229" s="38"/>
      <c r="Q229" s="10"/>
    </row>
    <row r="230" spans="1:21" s="11" customFormat="1" x14ac:dyDescent="0.3">
      <c r="A230" s="8"/>
      <c r="B230" s="639"/>
      <c r="C230" s="640"/>
      <c r="D230" s="640"/>
      <c r="E230" s="640"/>
      <c r="F230" s="640"/>
      <c r="G230" s="640"/>
      <c r="H230" s="640"/>
      <c r="I230" s="640"/>
      <c r="J230" s="640"/>
      <c r="K230" s="640"/>
      <c r="L230" s="641"/>
      <c r="M230" s="38"/>
      <c r="Q230" s="10"/>
    </row>
    <row r="231" spans="1:21" s="11" customFormat="1" x14ac:dyDescent="0.3">
      <c r="A231" s="8"/>
      <c r="B231" s="639"/>
      <c r="C231" s="640"/>
      <c r="D231" s="640"/>
      <c r="E231" s="640"/>
      <c r="F231" s="640"/>
      <c r="G231" s="640"/>
      <c r="H231" s="640"/>
      <c r="I231" s="640"/>
      <c r="J231" s="640"/>
      <c r="K231" s="640"/>
      <c r="L231" s="641"/>
      <c r="M231" s="38"/>
      <c r="Q231" s="10"/>
    </row>
    <row r="232" spans="1:21" s="11" customFormat="1" x14ac:dyDescent="0.3">
      <c r="A232" s="8"/>
      <c r="B232" s="639"/>
      <c r="C232" s="640"/>
      <c r="D232" s="640"/>
      <c r="E232" s="640"/>
      <c r="F232" s="640"/>
      <c r="G232" s="640"/>
      <c r="H232" s="640"/>
      <c r="I232" s="640"/>
      <c r="J232" s="640"/>
      <c r="K232" s="640"/>
      <c r="L232" s="641"/>
      <c r="M232" s="38"/>
      <c r="Q232" s="10"/>
    </row>
    <row r="233" spans="1:21" s="11" customFormat="1" x14ac:dyDescent="0.3">
      <c r="A233" s="8"/>
      <c r="B233" s="639"/>
      <c r="C233" s="640"/>
      <c r="D233" s="640"/>
      <c r="E233" s="640"/>
      <c r="F233" s="640"/>
      <c r="G233" s="640"/>
      <c r="H233" s="640"/>
      <c r="I233" s="640"/>
      <c r="J233" s="640"/>
      <c r="K233" s="640"/>
      <c r="L233" s="641"/>
      <c r="M233" s="38"/>
      <c r="Q233" s="10"/>
    </row>
    <row r="234" spans="1:21" s="38" customFormat="1" x14ac:dyDescent="0.3">
      <c r="A234" s="95"/>
      <c r="B234" s="50"/>
      <c r="C234" s="51"/>
      <c r="D234" s="51"/>
      <c r="E234" s="51"/>
      <c r="F234" s="51"/>
      <c r="G234" s="51"/>
      <c r="H234" s="51"/>
      <c r="I234" s="51"/>
      <c r="J234" s="51"/>
      <c r="K234" s="51"/>
      <c r="L234" s="52"/>
      <c r="O234" s="10"/>
      <c r="P234" s="10"/>
      <c r="Q234" s="10"/>
      <c r="R234" s="10"/>
      <c r="S234" s="10"/>
      <c r="T234" s="10"/>
      <c r="U234" s="10"/>
    </row>
    <row r="235" spans="1:21" s="11" customFormat="1" x14ac:dyDescent="0.3">
      <c r="A235" s="7"/>
      <c r="B235" s="650" t="s">
        <v>57</v>
      </c>
      <c r="C235" s="651"/>
      <c r="D235" s="651"/>
      <c r="E235" s="651"/>
      <c r="F235" s="651"/>
      <c r="G235" s="651"/>
      <c r="H235" s="651"/>
      <c r="I235" s="651"/>
      <c r="J235" s="651"/>
      <c r="K235" s="651"/>
      <c r="L235" s="652"/>
      <c r="M235" s="73"/>
    </row>
    <row r="236" spans="1:21" s="38" customFormat="1" x14ac:dyDescent="0.3">
      <c r="A236" s="95"/>
      <c r="B236" s="53"/>
      <c r="C236" s="94"/>
      <c r="D236" s="94"/>
      <c r="E236" s="94"/>
      <c r="F236" s="94"/>
      <c r="G236" s="94"/>
      <c r="H236" s="94"/>
      <c r="I236" s="94"/>
      <c r="J236" s="94"/>
      <c r="K236" s="94"/>
      <c r="L236" s="54"/>
      <c r="O236" s="10"/>
      <c r="P236" s="10"/>
      <c r="Q236" s="10"/>
      <c r="R236" s="10"/>
      <c r="S236" s="10"/>
      <c r="T236" s="10"/>
      <c r="U236" s="10"/>
    </row>
    <row r="237" spans="1:21" s="38" customFormat="1" x14ac:dyDescent="0.3">
      <c r="A237" s="95"/>
      <c r="B237" s="625" t="str">
        <f>IF(Intro!$G$20="English",O237,P237)</f>
        <v>To what extent are the goods produced in Canada comparable in price with the goods imported from China?</v>
      </c>
      <c r="C237" s="626"/>
      <c r="D237" s="626"/>
      <c r="E237" s="626"/>
      <c r="F237" s="626"/>
      <c r="G237" s="626"/>
      <c r="H237" s="626"/>
      <c r="I237" s="626"/>
      <c r="J237" s="626"/>
      <c r="K237" s="626"/>
      <c r="L237" s="627"/>
      <c r="O237" s="10" t="str">
        <f>"To what extent are the goods produced in Canada comparable in price with the goods imported from "&amp;Variables!B5&amp;"?"</f>
        <v>To what extent are the goods produced in Canada comparable in price with the goods imported from China?</v>
      </c>
      <c r="P237" s="10" t="str">
        <f>"Dans quelle mesure les marchandises produites au Canada sont-elles comparables en prix aux marchandises importées "&amp;Variables!C5&amp;"?"</f>
        <v>Dans quelle mesure les marchandises produites au Canada sont-elles comparables en prix aux marchandises importées de la Chine?</v>
      </c>
      <c r="Q237" s="10"/>
      <c r="R237" s="10"/>
      <c r="S237" s="10"/>
      <c r="T237" s="10"/>
      <c r="U237" s="10"/>
    </row>
    <row r="238" spans="1:21" s="38" customFormat="1" x14ac:dyDescent="0.3">
      <c r="A238" s="95"/>
      <c r="B238" s="53"/>
      <c r="C238" s="94"/>
      <c r="D238" s="94"/>
      <c r="E238" s="94"/>
      <c r="F238" s="94"/>
      <c r="G238" s="94"/>
      <c r="H238" s="94"/>
      <c r="I238" s="94"/>
      <c r="J238" s="94"/>
      <c r="K238" s="94"/>
      <c r="L238" s="54"/>
      <c r="O238" s="10"/>
      <c r="P238" s="10"/>
      <c r="Q238" s="10"/>
      <c r="R238" s="10"/>
      <c r="S238" s="10"/>
      <c r="T238" s="10"/>
      <c r="U238" s="10"/>
    </row>
    <row r="239" spans="1:21" s="11" customFormat="1" x14ac:dyDescent="0.3">
      <c r="A239" s="8"/>
      <c r="B239" s="639"/>
      <c r="C239" s="640"/>
      <c r="D239" s="640"/>
      <c r="E239" s="640"/>
      <c r="F239" s="640"/>
      <c r="G239" s="640"/>
      <c r="H239" s="640"/>
      <c r="I239" s="640"/>
      <c r="J239" s="640"/>
      <c r="K239" s="640"/>
      <c r="L239" s="641"/>
      <c r="M239" s="38"/>
      <c r="Q239" s="10"/>
    </row>
    <row r="240" spans="1:21" s="11" customFormat="1" x14ac:dyDescent="0.3">
      <c r="A240" s="8"/>
      <c r="B240" s="639"/>
      <c r="C240" s="640"/>
      <c r="D240" s="640"/>
      <c r="E240" s="640"/>
      <c r="F240" s="640"/>
      <c r="G240" s="640"/>
      <c r="H240" s="640"/>
      <c r="I240" s="640"/>
      <c r="J240" s="640"/>
      <c r="K240" s="640"/>
      <c r="L240" s="641"/>
      <c r="M240" s="38"/>
      <c r="Q240" s="10"/>
    </row>
    <row r="241" spans="1:21" s="11" customFormat="1" x14ac:dyDescent="0.3">
      <c r="A241" s="8"/>
      <c r="B241" s="639"/>
      <c r="C241" s="640"/>
      <c r="D241" s="640"/>
      <c r="E241" s="640"/>
      <c r="F241" s="640"/>
      <c r="G241" s="640"/>
      <c r="H241" s="640"/>
      <c r="I241" s="640"/>
      <c r="J241" s="640"/>
      <c r="K241" s="640"/>
      <c r="L241" s="641"/>
      <c r="M241" s="38"/>
      <c r="Q241" s="10"/>
    </row>
    <row r="242" spans="1:21" s="11" customFormat="1" x14ac:dyDescent="0.3">
      <c r="A242" s="8"/>
      <c r="B242" s="639"/>
      <c r="C242" s="640"/>
      <c r="D242" s="640"/>
      <c r="E242" s="640"/>
      <c r="F242" s="640"/>
      <c r="G242" s="640"/>
      <c r="H242" s="640"/>
      <c r="I242" s="640"/>
      <c r="J242" s="640"/>
      <c r="K242" s="640"/>
      <c r="L242" s="641"/>
      <c r="M242" s="38"/>
      <c r="Q242" s="10"/>
    </row>
    <row r="243" spans="1:21" s="11" customFormat="1" x14ac:dyDescent="0.3">
      <c r="A243" s="8"/>
      <c r="B243" s="639"/>
      <c r="C243" s="640"/>
      <c r="D243" s="640"/>
      <c r="E243" s="640"/>
      <c r="F243" s="640"/>
      <c r="G243" s="640"/>
      <c r="H243" s="640"/>
      <c r="I243" s="640"/>
      <c r="J243" s="640"/>
      <c r="K243" s="640"/>
      <c r="L243" s="641"/>
      <c r="M243" s="38"/>
      <c r="Q243" s="10"/>
    </row>
    <row r="244" spans="1:21" s="11" customFormat="1" x14ac:dyDescent="0.3">
      <c r="A244" s="8"/>
      <c r="B244" s="639"/>
      <c r="C244" s="640"/>
      <c r="D244" s="640"/>
      <c r="E244" s="640"/>
      <c r="F244" s="640"/>
      <c r="G244" s="640"/>
      <c r="H244" s="640"/>
      <c r="I244" s="640"/>
      <c r="J244" s="640"/>
      <c r="K244" s="640"/>
      <c r="L244" s="641"/>
      <c r="M244" s="38"/>
      <c r="Q244" s="10"/>
    </row>
    <row r="245" spans="1:21" s="11" customFormat="1" x14ac:dyDescent="0.3">
      <c r="A245" s="8"/>
      <c r="B245" s="639"/>
      <c r="C245" s="640"/>
      <c r="D245" s="640"/>
      <c r="E245" s="640"/>
      <c r="F245" s="640"/>
      <c r="G245" s="640"/>
      <c r="H245" s="640"/>
      <c r="I245" s="640"/>
      <c r="J245" s="640"/>
      <c r="K245" s="640"/>
      <c r="L245" s="641"/>
      <c r="M245" s="38"/>
      <c r="Q245" s="10"/>
    </row>
    <row r="246" spans="1:21" s="11" customFormat="1" x14ac:dyDescent="0.3">
      <c r="A246" s="8"/>
      <c r="B246" s="639"/>
      <c r="C246" s="640"/>
      <c r="D246" s="640"/>
      <c r="E246" s="640"/>
      <c r="F246" s="640"/>
      <c r="G246" s="640"/>
      <c r="H246" s="640"/>
      <c r="I246" s="640"/>
      <c r="J246" s="640"/>
      <c r="K246" s="640"/>
      <c r="L246" s="641"/>
      <c r="M246" s="38"/>
      <c r="Q246" s="10"/>
    </row>
    <row r="247" spans="1:21" s="38" customFormat="1" x14ac:dyDescent="0.3">
      <c r="A247" s="95"/>
      <c r="B247" s="50"/>
      <c r="C247" s="51"/>
      <c r="D247" s="51"/>
      <c r="E247" s="51"/>
      <c r="F247" s="51"/>
      <c r="G247" s="51"/>
      <c r="H247" s="51"/>
      <c r="I247" s="51"/>
      <c r="J247" s="51"/>
      <c r="K247" s="51"/>
      <c r="L247" s="52"/>
      <c r="O247" s="10"/>
      <c r="P247" s="10"/>
      <c r="Q247" s="10"/>
      <c r="R247" s="10"/>
      <c r="S247" s="10"/>
      <c r="T247" s="10"/>
      <c r="U247" s="10"/>
    </row>
    <row r="248" spans="1:21" s="11" customFormat="1" x14ac:dyDescent="0.3">
      <c r="A248" s="7"/>
      <c r="B248" s="650" t="s">
        <v>55</v>
      </c>
      <c r="C248" s="651"/>
      <c r="D248" s="651"/>
      <c r="E248" s="651"/>
      <c r="F248" s="651"/>
      <c r="G248" s="651"/>
      <c r="H248" s="651"/>
      <c r="I248" s="651"/>
      <c r="J248" s="651"/>
      <c r="K248" s="651"/>
      <c r="L248" s="652"/>
      <c r="M248" s="73"/>
    </row>
    <row r="249" spans="1:21" s="38" customFormat="1" x14ac:dyDescent="0.3">
      <c r="A249" s="95"/>
      <c r="B249" s="53"/>
      <c r="C249" s="94"/>
      <c r="D249" s="94"/>
      <c r="E249" s="94"/>
      <c r="F249" s="94"/>
      <c r="G249" s="94"/>
      <c r="H249" s="94"/>
      <c r="I249" s="94"/>
      <c r="J249" s="94"/>
      <c r="K249" s="94"/>
      <c r="L249" s="54"/>
      <c r="O249" s="10"/>
      <c r="P249" s="10"/>
      <c r="Q249" s="10"/>
      <c r="R249" s="10"/>
      <c r="S249" s="10"/>
      <c r="T249" s="10"/>
      <c r="U249" s="10"/>
    </row>
    <row r="250" spans="1:21" s="38" customFormat="1" x14ac:dyDescent="0.3">
      <c r="A250" s="95"/>
      <c r="B250" s="503" t="str">
        <f>IF(Intro!$G$20="English",O250,P250)</f>
        <v>To what extent are the goods produced in Canada comparable in non-price factors (including product quality, lead and delivery times, reliability of supply, etc.) with the goods imported from China?</v>
      </c>
      <c r="C250" s="504"/>
      <c r="D250" s="504"/>
      <c r="E250" s="504"/>
      <c r="F250" s="504"/>
      <c r="G250" s="504"/>
      <c r="H250" s="504"/>
      <c r="I250" s="504"/>
      <c r="J250" s="504"/>
      <c r="K250" s="504"/>
      <c r="L250" s="505"/>
      <c r="O250" s="10"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China?</v>
      </c>
      <c r="P250" s="10"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Q250" s="10"/>
      <c r="R250" s="10"/>
      <c r="S250" s="10"/>
      <c r="T250" s="10"/>
      <c r="U250" s="10"/>
    </row>
    <row r="251" spans="1:21" s="38" customFormat="1" x14ac:dyDescent="0.3">
      <c r="A251" s="95"/>
      <c r="B251" s="503"/>
      <c r="C251" s="504"/>
      <c r="D251" s="504"/>
      <c r="E251" s="504"/>
      <c r="F251" s="504"/>
      <c r="G251" s="504"/>
      <c r="H251" s="504"/>
      <c r="I251" s="504"/>
      <c r="J251" s="504"/>
      <c r="K251" s="504"/>
      <c r="L251" s="505"/>
      <c r="O251" s="10"/>
      <c r="P251" s="10"/>
      <c r="Q251" s="10"/>
      <c r="R251" s="10"/>
      <c r="S251" s="10"/>
      <c r="T251" s="10"/>
      <c r="U251" s="10"/>
    </row>
    <row r="252" spans="1:21" s="38" customFormat="1" x14ac:dyDescent="0.3">
      <c r="A252" s="95"/>
      <c r="B252" s="53"/>
      <c r="C252" s="94"/>
      <c r="D252" s="94"/>
      <c r="E252" s="94"/>
      <c r="F252" s="94"/>
      <c r="G252" s="94"/>
      <c r="H252" s="94"/>
      <c r="I252" s="94"/>
      <c r="J252" s="94"/>
      <c r="K252" s="94"/>
      <c r="L252" s="54"/>
      <c r="O252" s="10"/>
      <c r="P252" s="10"/>
      <c r="Q252" s="10"/>
      <c r="R252" s="10"/>
      <c r="S252" s="10"/>
      <c r="T252" s="10"/>
      <c r="U252" s="10"/>
    </row>
    <row r="253" spans="1:21" s="11" customFormat="1" x14ac:dyDescent="0.3">
      <c r="A253" s="8"/>
      <c r="B253" s="639"/>
      <c r="C253" s="640"/>
      <c r="D253" s="640"/>
      <c r="E253" s="640"/>
      <c r="F253" s="640"/>
      <c r="G253" s="640"/>
      <c r="H253" s="640"/>
      <c r="I253" s="640"/>
      <c r="J253" s="640"/>
      <c r="K253" s="640"/>
      <c r="L253" s="641"/>
      <c r="M253" s="38"/>
      <c r="Q253" s="10"/>
    </row>
    <row r="254" spans="1:21" s="11" customFormat="1" x14ac:dyDescent="0.3">
      <c r="A254" s="8"/>
      <c r="B254" s="639"/>
      <c r="C254" s="640"/>
      <c r="D254" s="640"/>
      <c r="E254" s="640"/>
      <c r="F254" s="640"/>
      <c r="G254" s="640"/>
      <c r="H254" s="640"/>
      <c r="I254" s="640"/>
      <c r="J254" s="640"/>
      <c r="K254" s="640"/>
      <c r="L254" s="641"/>
      <c r="M254" s="38"/>
      <c r="Q254" s="10"/>
    </row>
    <row r="255" spans="1:21" s="11" customFormat="1" x14ac:dyDescent="0.3">
      <c r="A255" s="8"/>
      <c r="B255" s="639"/>
      <c r="C255" s="640"/>
      <c r="D255" s="640"/>
      <c r="E255" s="640"/>
      <c r="F255" s="640"/>
      <c r="G255" s="640"/>
      <c r="H255" s="640"/>
      <c r="I255" s="640"/>
      <c r="J255" s="640"/>
      <c r="K255" s="640"/>
      <c r="L255" s="641"/>
      <c r="M255" s="38"/>
      <c r="Q255" s="10"/>
    </row>
    <row r="256" spans="1:21" s="11" customFormat="1" x14ac:dyDescent="0.3">
      <c r="A256" s="8"/>
      <c r="B256" s="639"/>
      <c r="C256" s="640"/>
      <c r="D256" s="640"/>
      <c r="E256" s="640"/>
      <c r="F256" s="640"/>
      <c r="G256" s="640"/>
      <c r="H256" s="640"/>
      <c r="I256" s="640"/>
      <c r="J256" s="640"/>
      <c r="K256" s="640"/>
      <c r="L256" s="641"/>
      <c r="M256" s="38"/>
      <c r="Q256" s="10"/>
    </row>
    <row r="257" spans="1:21" s="11" customFormat="1" x14ac:dyDescent="0.3">
      <c r="A257" s="8"/>
      <c r="B257" s="639"/>
      <c r="C257" s="640"/>
      <c r="D257" s="640"/>
      <c r="E257" s="640"/>
      <c r="F257" s="640"/>
      <c r="G257" s="640"/>
      <c r="H257" s="640"/>
      <c r="I257" s="640"/>
      <c r="J257" s="640"/>
      <c r="K257" s="640"/>
      <c r="L257" s="641"/>
      <c r="M257" s="38"/>
      <c r="Q257" s="10"/>
    </row>
    <row r="258" spans="1:21" s="11" customFormat="1" x14ac:dyDescent="0.3">
      <c r="A258" s="8"/>
      <c r="B258" s="639"/>
      <c r="C258" s="640"/>
      <c r="D258" s="640"/>
      <c r="E258" s="640"/>
      <c r="F258" s="640"/>
      <c r="G258" s="640"/>
      <c r="H258" s="640"/>
      <c r="I258" s="640"/>
      <c r="J258" s="640"/>
      <c r="K258" s="640"/>
      <c r="L258" s="641"/>
      <c r="M258" s="38"/>
      <c r="Q258" s="10"/>
    </row>
    <row r="259" spans="1:21" s="11" customFormat="1" x14ac:dyDescent="0.3">
      <c r="A259" s="8"/>
      <c r="B259" s="639"/>
      <c r="C259" s="640"/>
      <c r="D259" s="640"/>
      <c r="E259" s="640"/>
      <c r="F259" s="640"/>
      <c r="G259" s="640"/>
      <c r="H259" s="640"/>
      <c r="I259" s="640"/>
      <c r="J259" s="640"/>
      <c r="K259" s="640"/>
      <c r="L259" s="641"/>
      <c r="M259" s="38"/>
      <c r="Q259" s="10"/>
    </row>
    <row r="260" spans="1:21" s="11" customFormat="1" x14ac:dyDescent="0.3">
      <c r="A260" s="8"/>
      <c r="B260" s="639"/>
      <c r="C260" s="640"/>
      <c r="D260" s="640"/>
      <c r="E260" s="640"/>
      <c r="F260" s="640"/>
      <c r="G260" s="640"/>
      <c r="H260" s="640"/>
      <c r="I260" s="640"/>
      <c r="J260" s="640"/>
      <c r="K260" s="640"/>
      <c r="L260" s="641"/>
      <c r="M260" s="38"/>
      <c r="Q260" s="10"/>
    </row>
    <row r="261" spans="1:21" s="38" customFormat="1" x14ac:dyDescent="0.3">
      <c r="A261" s="95"/>
      <c r="B261" s="50"/>
      <c r="C261" s="51"/>
      <c r="D261" s="51"/>
      <c r="E261" s="51"/>
      <c r="F261" s="51"/>
      <c r="G261" s="51"/>
      <c r="H261" s="51"/>
      <c r="I261" s="51"/>
      <c r="J261" s="51"/>
      <c r="K261" s="51"/>
      <c r="L261" s="52"/>
      <c r="O261" s="10"/>
      <c r="P261" s="10"/>
      <c r="Q261" s="10"/>
      <c r="R261" s="10"/>
      <c r="S261" s="10"/>
      <c r="T261" s="10"/>
      <c r="U261" s="10"/>
    </row>
    <row r="262" spans="1:21" x14ac:dyDescent="0.3">
      <c r="A262" s="7"/>
    </row>
    <row r="263" spans="1:21" x14ac:dyDescent="0.3">
      <c r="A263" s="7"/>
      <c r="B263" s="506" t="str">
        <f>IF(Intro!$G$20="English",O263,P263)</f>
        <v>SALES</v>
      </c>
      <c r="C263" s="507"/>
      <c r="D263" s="507"/>
      <c r="E263" s="507"/>
      <c r="F263" s="507"/>
      <c r="G263" s="507"/>
      <c r="H263" s="507"/>
      <c r="I263" s="507"/>
      <c r="J263" s="507"/>
      <c r="K263" s="507"/>
      <c r="L263" s="508"/>
      <c r="M263" s="38"/>
      <c r="O263" s="10" t="s">
        <v>323</v>
      </c>
      <c r="P263" s="10" t="s">
        <v>324</v>
      </c>
    </row>
    <row r="264" spans="1:21" s="11" customFormat="1" x14ac:dyDescent="0.3">
      <c r="A264" s="7"/>
      <c r="B264" s="647" t="s">
        <v>76</v>
      </c>
      <c r="C264" s="648"/>
      <c r="D264" s="648"/>
      <c r="E264" s="648"/>
      <c r="F264" s="648"/>
      <c r="G264" s="648"/>
      <c r="H264" s="648"/>
      <c r="I264" s="648"/>
      <c r="J264" s="648"/>
      <c r="K264" s="648"/>
      <c r="L264" s="649"/>
      <c r="M264" s="73"/>
    </row>
    <row r="265" spans="1:21" s="38" customFormat="1" x14ac:dyDescent="0.3">
      <c r="A265" s="95"/>
      <c r="B265" s="53"/>
      <c r="C265" s="94"/>
      <c r="D265" s="94"/>
      <c r="E265" s="94"/>
      <c r="F265" s="94"/>
      <c r="G265" s="94"/>
      <c r="H265" s="94"/>
      <c r="I265" s="94"/>
      <c r="J265" s="94"/>
      <c r="K265" s="94"/>
      <c r="L265" s="54"/>
      <c r="O265" s="10"/>
      <c r="P265" s="10"/>
      <c r="Q265" s="10"/>
      <c r="R265" s="10"/>
      <c r="S265" s="10"/>
      <c r="T265" s="10"/>
      <c r="U265" s="10"/>
    </row>
    <row r="266" spans="1:21" s="38" customFormat="1" x14ac:dyDescent="0.3">
      <c r="A266" s="95"/>
      <c r="B266" s="625" t="str">
        <f>IF(Intro!$G$20="English",O266,P266)</f>
        <v>Describe any changes in your firm's channels of distribution since January 1, 2023.</v>
      </c>
      <c r="C266" s="626"/>
      <c r="D266" s="626"/>
      <c r="E266" s="626"/>
      <c r="F266" s="626"/>
      <c r="G266" s="626"/>
      <c r="H266" s="626"/>
      <c r="I266" s="626"/>
      <c r="J266" s="626"/>
      <c r="K266" s="626"/>
      <c r="L266" s="627"/>
      <c r="O266" s="10" t="str">
        <f>"Describe any changes in your firm's channels of distribution since January 1, "&amp;Variables!B6&amp;"."</f>
        <v>Describe any changes in your firm's channels of distribution since January 1, 2023.</v>
      </c>
      <c r="P266" s="10" t="str">
        <f>"Décrivez tout changement dans les canaux de distribution de votre entreprise depuis le 1er janvier "&amp;Variables!B6&amp;"."</f>
        <v>Décrivez tout changement dans les canaux de distribution de votre entreprise depuis le 1er janvier 2023.</v>
      </c>
      <c r="Q266" s="10"/>
      <c r="R266" s="10"/>
      <c r="S266" s="10"/>
      <c r="T266" s="10"/>
      <c r="U266" s="10"/>
    </row>
    <row r="267" spans="1:21" s="38" customFormat="1" x14ac:dyDescent="0.3">
      <c r="A267" s="95"/>
      <c r="B267" s="53"/>
      <c r="C267" s="94"/>
      <c r="D267" s="94"/>
      <c r="E267" s="94"/>
      <c r="F267" s="94"/>
      <c r="G267" s="94"/>
      <c r="H267" s="94"/>
      <c r="I267" s="94"/>
      <c r="J267" s="94"/>
      <c r="K267" s="94"/>
      <c r="L267" s="54"/>
      <c r="O267" s="10"/>
      <c r="P267" s="10"/>
      <c r="Q267" s="10"/>
      <c r="R267" s="10"/>
      <c r="S267" s="10"/>
      <c r="T267" s="10"/>
      <c r="U267" s="10"/>
    </row>
    <row r="268" spans="1:21" s="11" customFormat="1" x14ac:dyDescent="0.3">
      <c r="A268" s="8"/>
      <c r="B268" s="639"/>
      <c r="C268" s="640"/>
      <c r="D268" s="640"/>
      <c r="E268" s="640"/>
      <c r="F268" s="640"/>
      <c r="G268" s="640"/>
      <c r="H268" s="640"/>
      <c r="I268" s="640"/>
      <c r="J268" s="640"/>
      <c r="K268" s="640"/>
      <c r="L268" s="641"/>
      <c r="M268" s="38"/>
      <c r="Q268" s="10"/>
    </row>
    <row r="269" spans="1:21" s="11" customFormat="1" x14ac:dyDescent="0.3">
      <c r="A269" s="8"/>
      <c r="B269" s="639"/>
      <c r="C269" s="640"/>
      <c r="D269" s="640"/>
      <c r="E269" s="640"/>
      <c r="F269" s="640"/>
      <c r="G269" s="640"/>
      <c r="H269" s="640"/>
      <c r="I269" s="640"/>
      <c r="J269" s="640"/>
      <c r="K269" s="640"/>
      <c r="L269" s="641"/>
      <c r="M269" s="38"/>
      <c r="Q269" s="10"/>
    </row>
    <row r="270" spans="1:21" s="11" customFormat="1" x14ac:dyDescent="0.3">
      <c r="A270" s="8"/>
      <c r="B270" s="639"/>
      <c r="C270" s="640"/>
      <c r="D270" s="640"/>
      <c r="E270" s="640"/>
      <c r="F270" s="640"/>
      <c r="G270" s="640"/>
      <c r="H270" s="640"/>
      <c r="I270" s="640"/>
      <c r="J270" s="640"/>
      <c r="K270" s="640"/>
      <c r="L270" s="641"/>
      <c r="M270" s="38"/>
      <c r="Q270" s="10"/>
    </row>
    <row r="271" spans="1:21" s="11" customFormat="1" x14ac:dyDescent="0.3">
      <c r="A271" s="8"/>
      <c r="B271" s="639"/>
      <c r="C271" s="640"/>
      <c r="D271" s="640"/>
      <c r="E271" s="640"/>
      <c r="F271" s="640"/>
      <c r="G271" s="640"/>
      <c r="H271" s="640"/>
      <c r="I271" s="640"/>
      <c r="J271" s="640"/>
      <c r="K271" s="640"/>
      <c r="L271" s="641"/>
      <c r="M271" s="38"/>
      <c r="Q271" s="10"/>
    </row>
    <row r="272" spans="1:21" s="11" customFormat="1" x14ac:dyDescent="0.3">
      <c r="A272" s="8"/>
      <c r="B272" s="639"/>
      <c r="C272" s="640"/>
      <c r="D272" s="640"/>
      <c r="E272" s="640"/>
      <c r="F272" s="640"/>
      <c r="G272" s="640"/>
      <c r="H272" s="640"/>
      <c r="I272" s="640"/>
      <c r="J272" s="640"/>
      <c r="K272" s="640"/>
      <c r="L272" s="641"/>
      <c r="M272" s="38"/>
      <c r="Q272" s="10"/>
    </row>
    <row r="273" spans="1:21" s="11" customFormat="1" x14ac:dyDescent="0.3">
      <c r="A273" s="8"/>
      <c r="B273" s="639"/>
      <c r="C273" s="640"/>
      <c r="D273" s="640"/>
      <c r="E273" s="640"/>
      <c r="F273" s="640"/>
      <c r="G273" s="640"/>
      <c r="H273" s="640"/>
      <c r="I273" s="640"/>
      <c r="J273" s="640"/>
      <c r="K273" s="640"/>
      <c r="L273" s="641"/>
      <c r="M273" s="38"/>
      <c r="Q273" s="10"/>
    </row>
    <row r="274" spans="1:21" s="11" customFormat="1" x14ac:dyDescent="0.3">
      <c r="A274" s="8"/>
      <c r="B274" s="639"/>
      <c r="C274" s="640"/>
      <c r="D274" s="640"/>
      <c r="E274" s="640"/>
      <c r="F274" s="640"/>
      <c r="G274" s="640"/>
      <c r="H274" s="640"/>
      <c r="I274" s="640"/>
      <c r="J274" s="640"/>
      <c r="K274" s="640"/>
      <c r="L274" s="641"/>
      <c r="M274" s="38"/>
      <c r="Q274" s="10"/>
    </row>
    <row r="275" spans="1:21" s="11" customFormat="1" x14ac:dyDescent="0.3">
      <c r="A275" s="8"/>
      <c r="B275" s="639"/>
      <c r="C275" s="640"/>
      <c r="D275" s="640"/>
      <c r="E275" s="640"/>
      <c r="F275" s="640"/>
      <c r="G275" s="640"/>
      <c r="H275" s="640"/>
      <c r="I275" s="640"/>
      <c r="J275" s="640"/>
      <c r="K275" s="640"/>
      <c r="L275" s="641"/>
      <c r="M275" s="38"/>
      <c r="Q275" s="10"/>
    </row>
    <row r="276" spans="1:21" s="38" customFormat="1" x14ac:dyDescent="0.3">
      <c r="A276" s="95"/>
      <c r="B276" s="50"/>
      <c r="C276" s="51"/>
      <c r="D276" s="51"/>
      <c r="E276" s="51"/>
      <c r="F276" s="51"/>
      <c r="G276" s="51"/>
      <c r="H276" s="51"/>
      <c r="I276" s="51"/>
      <c r="J276" s="51"/>
      <c r="K276" s="51"/>
      <c r="L276" s="52"/>
      <c r="O276" s="10"/>
      <c r="P276" s="10"/>
      <c r="Q276" s="10"/>
      <c r="R276" s="10"/>
      <c r="S276" s="10"/>
      <c r="T276" s="10"/>
      <c r="U276" s="10"/>
    </row>
    <row r="277" spans="1:21" s="11" customFormat="1" x14ac:dyDescent="0.3">
      <c r="A277" s="7"/>
      <c r="B277" s="650" t="s">
        <v>77</v>
      </c>
      <c r="C277" s="651"/>
      <c r="D277" s="651"/>
      <c r="E277" s="651"/>
      <c r="F277" s="651"/>
      <c r="G277" s="651"/>
      <c r="H277" s="651"/>
      <c r="I277" s="651"/>
      <c r="J277" s="651"/>
      <c r="K277" s="651"/>
      <c r="L277" s="652"/>
      <c r="M277" s="73"/>
    </row>
    <row r="278" spans="1:21" s="38" customFormat="1" x14ac:dyDescent="0.3">
      <c r="A278" s="95"/>
      <c r="B278" s="53"/>
      <c r="C278" s="94"/>
      <c r="D278" s="94"/>
      <c r="E278" s="94"/>
      <c r="F278" s="94"/>
      <c r="G278" s="94"/>
      <c r="H278" s="94"/>
      <c r="I278" s="94"/>
      <c r="J278" s="94"/>
      <c r="K278" s="94"/>
      <c r="L278" s="54"/>
      <c r="O278" s="10"/>
      <c r="P278" s="10"/>
      <c r="Q278" s="10"/>
      <c r="R278" s="10"/>
      <c r="S278" s="10"/>
      <c r="T278" s="10"/>
      <c r="U278" s="10"/>
    </row>
    <row r="279" spans="1:21" s="38" customFormat="1" x14ac:dyDescent="0.3">
      <c r="A279" s="95"/>
      <c r="B279" s="500" t="str">
        <f>IF(Intro!$G$20="English",O279,P279)</f>
        <v>How does your firm promote sales of the goods in the Canadian market? Have these methods changed since January 1, 2023?</v>
      </c>
      <c r="C279" s="501"/>
      <c r="D279" s="501"/>
      <c r="E279" s="501"/>
      <c r="F279" s="501"/>
      <c r="G279" s="501"/>
      <c r="H279" s="501"/>
      <c r="I279" s="501"/>
      <c r="J279" s="501"/>
      <c r="K279" s="501"/>
      <c r="L279" s="502"/>
      <c r="O279" s="10" t="str">
        <f>"How does your firm promote sales of the goods in the Canadian market? Have these methods changed since January 1, "&amp;Variables!B6&amp;"?"</f>
        <v>How does your firm promote sales of the goods in the Canadian market? Have these methods changed since January 1, 2023?</v>
      </c>
      <c r="P279" s="10"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79" s="10"/>
      <c r="R279" s="10"/>
      <c r="S279" s="10"/>
      <c r="T279" s="10"/>
      <c r="U279" s="10"/>
    </row>
    <row r="280" spans="1:21" s="38" customFormat="1" x14ac:dyDescent="0.3">
      <c r="A280" s="95"/>
      <c r="B280" s="53"/>
      <c r="C280" s="94"/>
      <c r="D280" s="94"/>
      <c r="E280" s="94"/>
      <c r="F280" s="94"/>
      <c r="G280" s="94"/>
      <c r="H280" s="94"/>
      <c r="I280" s="94"/>
      <c r="J280" s="94"/>
      <c r="K280" s="94"/>
      <c r="L280" s="54"/>
      <c r="O280" s="10"/>
      <c r="P280" s="10"/>
      <c r="Q280" s="10"/>
      <c r="R280" s="10"/>
      <c r="S280" s="10"/>
      <c r="T280" s="10"/>
      <c r="U280" s="10"/>
    </row>
    <row r="281" spans="1:21" s="11" customFormat="1" x14ac:dyDescent="0.3">
      <c r="A281" s="8"/>
      <c r="B281" s="639"/>
      <c r="C281" s="640"/>
      <c r="D281" s="640"/>
      <c r="E281" s="640"/>
      <c r="F281" s="640"/>
      <c r="G281" s="640"/>
      <c r="H281" s="640"/>
      <c r="I281" s="640"/>
      <c r="J281" s="640"/>
      <c r="K281" s="640"/>
      <c r="L281" s="641"/>
      <c r="M281" s="38"/>
      <c r="Q281" s="10"/>
    </row>
    <row r="282" spans="1:21" s="11" customFormat="1" x14ac:dyDescent="0.3">
      <c r="A282" s="8"/>
      <c r="B282" s="639"/>
      <c r="C282" s="640"/>
      <c r="D282" s="640"/>
      <c r="E282" s="640"/>
      <c r="F282" s="640"/>
      <c r="G282" s="640"/>
      <c r="H282" s="640"/>
      <c r="I282" s="640"/>
      <c r="J282" s="640"/>
      <c r="K282" s="640"/>
      <c r="L282" s="641"/>
      <c r="M282" s="38"/>
      <c r="Q282" s="10"/>
    </row>
    <row r="283" spans="1:21" s="11" customFormat="1" x14ac:dyDescent="0.3">
      <c r="A283" s="8"/>
      <c r="B283" s="639"/>
      <c r="C283" s="640"/>
      <c r="D283" s="640"/>
      <c r="E283" s="640"/>
      <c r="F283" s="640"/>
      <c r="G283" s="640"/>
      <c r="H283" s="640"/>
      <c r="I283" s="640"/>
      <c r="J283" s="640"/>
      <c r="K283" s="640"/>
      <c r="L283" s="641"/>
      <c r="M283" s="38"/>
      <c r="Q283" s="10"/>
    </row>
    <row r="284" spans="1:21" s="11" customFormat="1" x14ac:dyDescent="0.3">
      <c r="A284" s="8"/>
      <c r="B284" s="639"/>
      <c r="C284" s="640"/>
      <c r="D284" s="640"/>
      <c r="E284" s="640"/>
      <c r="F284" s="640"/>
      <c r="G284" s="640"/>
      <c r="H284" s="640"/>
      <c r="I284" s="640"/>
      <c r="J284" s="640"/>
      <c r="K284" s="640"/>
      <c r="L284" s="641"/>
      <c r="M284" s="38"/>
      <c r="Q284" s="10"/>
    </row>
    <row r="285" spans="1:21" s="11" customFormat="1" x14ac:dyDescent="0.3">
      <c r="A285" s="8"/>
      <c r="B285" s="639"/>
      <c r="C285" s="640"/>
      <c r="D285" s="640"/>
      <c r="E285" s="640"/>
      <c r="F285" s="640"/>
      <c r="G285" s="640"/>
      <c r="H285" s="640"/>
      <c r="I285" s="640"/>
      <c r="J285" s="640"/>
      <c r="K285" s="640"/>
      <c r="L285" s="641"/>
      <c r="M285" s="38"/>
      <c r="Q285" s="10"/>
    </row>
    <row r="286" spans="1:21" s="11" customFormat="1" x14ac:dyDescent="0.3">
      <c r="A286" s="8"/>
      <c r="B286" s="639"/>
      <c r="C286" s="640"/>
      <c r="D286" s="640"/>
      <c r="E286" s="640"/>
      <c r="F286" s="640"/>
      <c r="G286" s="640"/>
      <c r="H286" s="640"/>
      <c r="I286" s="640"/>
      <c r="J286" s="640"/>
      <c r="K286" s="640"/>
      <c r="L286" s="641"/>
      <c r="M286" s="38"/>
      <c r="Q286" s="10"/>
    </row>
    <row r="287" spans="1:21" s="11" customFormat="1" x14ac:dyDescent="0.3">
      <c r="A287" s="8"/>
      <c r="B287" s="639"/>
      <c r="C287" s="640"/>
      <c r="D287" s="640"/>
      <c r="E287" s="640"/>
      <c r="F287" s="640"/>
      <c r="G287" s="640"/>
      <c r="H287" s="640"/>
      <c r="I287" s="640"/>
      <c r="J287" s="640"/>
      <c r="K287" s="640"/>
      <c r="L287" s="641"/>
      <c r="M287" s="38"/>
      <c r="Q287" s="10"/>
    </row>
    <row r="288" spans="1:21" s="11" customFormat="1" x14ac:dyDescent="0.3">
      <c r="A288" s="8"/>
      <c r="B288" s="639"/>
      <c r="C288" s="640"/>
      <c r="D288" s="640"/>
      <c r="E288" s="640"/>
      <c r="F288" s="640"/>
      <c r="G288" s="640"/>
      <c r="H288" s="640"/>
      <c r="I288" s="640"/>
      <c r="J288" s="640"/>
      <c r="K288" s="640"/>
      <c r="L288" s="641"/>
      <c r="M288" s="38"/>
      <c r="Q288" s="10"/>
    </row>
    <row r="289" spans="1:21" s="38" customFormat="1" x14ac:dyDescent="0.3">
      <c r="A289" s="95"/>
      <c r="B289" s="50"/>
      <c r="C289" s="51"/>
      <c r="D289" s="51"/>
      <c r="E289" s="51"/>
      <c r="F289" s="51"/>
      <c r="G289" s="51"/>
      <c r="H289" s="51"/>
      <c r="I289" s="51"/>
      <c r="J289" s="51"/>
      <c r="K289" s="51"/>
      <c r="L289" s="52"/>
      <c r="O289" s="10"/>
      <c r="P289" s="10"/>
      <c r="Q289" s="10"/>
      <c r="R289" s="10"/>
      <c r="S289" s="10"/>
      <c r="T289" s="10"/>
      <c r="U289" s="10"/>
    </row>
    <row r="290" spans="1:21" s="11" customFormat="1" x14ac:dyDescent="0.3">
      <c r="A290" s="7"/>
      <c r="B290" s="650" t="s">
        <v>65</v>
      </c>
      <c r="C290" s="651"/>
      <c r="D290" s="651"/>
      <c r="E290" s="651"/>
      <c r="F290" s="651"/>
      <c r="G290" s="651"/>
      <c r="H290" s="651"/>
      <c r="I290" s="651"/>
      <c r="J290" s="651"/>
      <c r="K290" s="651"/>
      <c r="L290" s="652"/>
      <c r="M290" s="73"/>
    </row>
    <row r="291" spans="1:21" s="38" customFormat="1" x14ac:dyDescent="0.3">
      <c r="A291" s="95"/>
      <c r="B291" s="53"/>
      <c r="C291" s="94"/>
      <c r="D291" s="94"/>
      <c r="E291" s="94"/>
      <c r="F291" s="94"/>
      <c r="G291" s="94"/>
      <c r="H291" s="94"/>
      <c r="I291" s="94"/>
      <c r="J291" s="94"/>
      <c r="K291" s="94"/>
      <c r="L291" s="54"/>
      <c r="O291" s="10"/>
      <c r="P291" s="10"/>
      <c r="Q291" s="10"/>
      <c r="R291" s="10"/>
      <c r="S291" s="10"/>
      <c r="T291" s="10"/>
      <c r="U291" s="10"/>
    </row>
    <row r="292" spans="1:21" s="38" customFormat="1" x14ac:dyDescent="0.3">
      <c r="A292" s="95"/>
      <c r="B292" s="500" t="str">
        <f>IF(Intro!$G$20="English",O292,P292)</f>
        <v>How does your firm price the goods in the Canadian market? Explain any firm-specific terms used. Explain whether these general pricing practices have changed since January 1, 2023.</v>
      </c>
      <c r="C292" s="501"/>
      <c r="D292" s="501"/>
      <c r="E292" s="501"/>
      <c r="F292" s="501"/>
      <c r="G292" s="501"/>
      <c r="H292" s="501"/>
      <c r="I292" s="501"/>
      <c r="J292" s="501"/>
      <c r="K292" s="501"/>
      <c r="L292" s="502"/>
      <c r="O292" s="10"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2" s="10"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2" s="10"/>
      <c r="R292" s="10"/>
      <c r="S292" s="10"/>
      <c r="T292" s="10"/>
      <c r="U292" s="10"/>
    </row>
    <row r="293" spans="1:21" s="38" customFormat="1" x14ac:dyDescent="0.3">
      <c r="A293" s="95"/>
      <c r="B293" s="500"/>
      <c r="C293" s="501"/>
      <c r="D293" s="501"/>
      <c r="E293" s="501"/>
      <c r="F293" s="501"/>
      <c r="G293" s="501"/>
      <c r="H293" s="501"/>
      <c r="I293" s="501"/>
      <c r="J293" s="501"/>
      <c r="K293" s="501"/>
      <c r="L293" s="502"/>
      <c r="O293" s="10"/>
      <c r="P293" s="10"/>
      <c r="Q293" s="10"/>
      <c r="R293" s="10"/>
      <c r="S293" s="10"/>
      <c r="T293" s="10"/>
      <c r="U293" s="10"/>
    </row>
    <row r="294" spans="1:21" s="38" customFormat="1" x14ac:dyDescent="0.3">
      <c r="A294" s="95"/>
      <c r="B294" s="53"/>
      <c r="C294" s="94"/>
      <c r="D294" s="94"/>
      <c r="E294" s="94"/>
      <c r="F294" s="94"/>
      <c r="G294" s="94"/>
      <c r="H294" s="94"/>
      <c r="I294" s="94"/>
      <c r="J294" s="94"/>
      <c r="K294" s="94"/>
      <c r="L294" s="54"/>
      <c r="O294" s="10"/>
      <c r="P294" s="10"/>
      <c r="Q294" s="10"/>
      <c r="R294" s="10"/>
      <c r="S294" s="10"/>
      <c r="T294" s="10"/>
      <c r="U294" s="10"/>
    </row>
    <row r="295" spans="1:21" s="11" customFormat="1" x14ac:dyDescent="0.3">
      <c r="A295" s="8"/>
      <c r="B295" s="639"/>
      <c r="C295" s="640"/>
      <c r="D295" s="640"/>
      <c r="E295" s="640"/>
      <c r="F295" s="640"/>
      <c r="G295" s="640"/>
      <c r="H295" s="640"/>
      <c r="I295" s="640"/>
      <c r="J295" s="640"/>
      <c r="K295" s="640"/>
      <c r="L295" s="641"/>
      <c r="M295" s="38"/>
      <c r="Q295" s="10"/>
    </row>
    <row r="296" spans="1:21" s="11" customFormat="1" x14ac:dyDescent="0.3">
      <c r="A296" s="8"/>
      <c r="B296" s="639"/>
      <c r="C296" s="640"/>
      <c r="D296" s="640"/>
      <c r="E296" s="640"/>
      <c r="F296" s="640"/>
      <c r="G296" s="640"/>
      <c r="H296" s="640"/>
      <c r="I296" s="640"/>
      <c r="J296" s="640"/>
      <c r="K296" s="640"/>
      <c r="L296" s="641"/>
      <c r="M296" s="38"/>
      <c r="Q296" s="10"/>
    </row>
    <row r="297" spans="1:21" s="11" customFormat="1" x14ac:dyDescent="0.3">
      <c r="A297" s="8"/>
      <c r="B297" s="639"/>
      <c r="C297" s="640"/>
      <c r="D297" s="640"/>
      <c r="E297" s="640"/>
      <c r="F297" s="640"/>
      <c r="G297" s="640"/>
      <c r="H297" s="640"/>
      <c r="I297" s="640"/>
      <c r="J297" s="640"/>
      <c r="K297" s="640"/>
      <c r="L297" s="641"/>
      <c r="M297" s="38"/>
      <c r="Q297" s="10"/>
    </row>
    <row r="298" spans="1:21" s="11" customFormat="1" x14ac:dyDescent="0.3">
      <c r="A298" s="8"/>
      <c r="B298" s="639"/>
      <c r="C298" s="640"/>
      <c r="D298" s="640"/>
      <c r="E298" s="640"/>
      <c r="F298" s="640"/>
      <c r="G298" s="640"/>
      <c r="H298" s="640"/>
      <c r="I298" s="640"/>
      <c r="J298" s="640"/>
      <c r="K298" s="640"/>
      <c r="L298" s="641"/>
      <c r="M298" s="38"/>
      <c r="Q298" s="10"/>
    </row>
    <row r="299" spans="1:21" s="11" customFormat="1" x14ac:dyDescent="0.3">
      <c r="A299" s="8"/>
      <c r="B299" s="639"/>
      <c r="C299" s="640"/>
      <c r="D299" s="640"/>
      <c r="E299" s="640"/>
      <c r="F299" s="640"/>
      <c r="G299" s="640"/>
      <c r="H299" s="640"/>
      <c r="I299" s="640"/>
      <c r="J299" s="640"/>
      <c r="K299" s="640"/>
      <c r="L299" s="641"/>
      <c r="M299" s="38"/>
      <c r="Q299" s="10"/>
    </row>
    <row r="300" spans="1:21" s="11" customFormat="1" x14ac:dyDescent="0.3">
      <c r="A300" s="8"/>
      <c r="B300" s="639"/>
      <c r="C300" s="640"/>
      <c r="D300" s="640"/>
      <c r="E300" s="640"/>
      <c r="F300" s="640"/>
      <c r="G300" s="640"/>
      <c r="H300" s="640"/>
      <c r="I300" s="640"/>
      <c r="J300" s="640"/>
      <c r="K300" s="640"/>
      <c r="L300" s="641"/>
      <c r="M300" s="38"/>
      <c r="Q300" s="10"/>
    </row>
    <row r="301" spans="1:21" s="11" customFormat="1" x14ac:dyDescent="0.3">
      <c r="A301" s="8"/>
      <c r="B301" s="639"/>
      <c r="C301" s="640"/>
      <c r="D301" s="640"/>
      <c r="E301" s="640"/>
      <c r="F301" s="640"/>
      <c r="G301" s="640"/>
      <c r="H301" s="640"/>
      <c r="I301" s="640"/>
      <c r="J301" s="640"/>
      <c r="K301" s="640"/>
      <c r="L301" s="641"/>
      <c r="M301" s="38"/>
      <c r="Q301" s="10"/>
    </row>
    <row r="302" spans="1:21" s="11" customFormat="1" x14ac:dyDescent="0.3">
      <c r="A302" s="8"/>
      <c r="B302" s="639"/>
      <c r="C302" s="640"/>
      <c r="D302" s="640"/>
      <c r="E302" s="640"/>
      <c r="F302" s="640"/>
      <c r="G302" s="640"/>
      <c r="H302" s="640"/>
      <c r="I302" s="640"/>
      <c r="J302" s="640"/>
      <c r="K302" s="640"/>
      <c r="L302" s="641"/>
      <c r="M302" s="38"/>
      <c r="Q302" s="10"/>
    </row>
    <row r="303" spans="1:21" s="38" customFormat="1" x14ac:dyDescent="0.3">
      <c r="A303" s="95"/>
      <c r="B303" s="50"/>
      <c r="C303" s="51"/>
      <c r="D303" s="51"/>
      <c r="E303" s="51"/>
      <c r="F303" s="51"/>
      <c r="G303" s="51"/>
      <c r="H303" s="51"/>
      <c r="I303" s="51"/>
      <c r="J303" s="51"/>
      <c r="K303" s="51"/>
      <c r="L303" s="52"/>
      <c r="O303" s="10"/>
      <c r="P303" s="10"/>
      <c r="Q303" s="10"/>
      <c r="R303" s="10"/>
      <c r="S303" s="10"/>
      <c r="T303" s="10"/>
      <c r="U303" s="10"/>
    </row>
    <row r="304" spans="1:21" s="11" customFormat="1" x14ac:dyDescent="0.3">
      <c r="A304" s="7"/>
      <c r="B304" s="650" t="s">
        <v>78</v>
      </c>
      <c r="C304" s="651"/>
      <c r="D304" s="651"/>
      <c r="E304" s="651"/>
      <c r="F304" s="651"/>
      <c r="G304" s="651"/>
      <c r="H304" s="651"/>
      <c r="I304" s="651"/>
      <c r="J304" s="651"/>
      <c r="K304" s="651"/>
      <c r="L304" s="652"/>
      <c r="M304" s="73"/>
    </row>
    <row r="305" spans="1:21" s="38" customFormat="1" x14ac:dyDescent="0.3">
      <c r="A305" s="95"/>
      <c r="B305" s="53"/>
      <c r="C305" s="94"/>
      <c r="D305" s="94"/>
      <c r="E305" s="94"/>
      <c r="F305" s="94"/>
      <c r="G305" s="94"/>
      <c r="H305" s="94"/>
      <c r="I305" s="94"/>
      <c r="J305" s="94"/>
      <c r="K305" s="94"/>
      <c r="L305" s="54"/>
      <c r="O305" s="10"/>
      <c r="P305" s="10"/>
      <c r="Q305" s="10"/>
      <c r="R305" s="10"/>
      <c r="S305" s="10"/>
      <c r="T305" s="10"/>
      <c r="U305" s="10"/>
    </row>
    <row r="306" spans="1:21" s="38" customFormat="1" x14ac:dyDescent="0.3">
      <c r="A306" s="95"/>
      <c r="B306" s="500" t="str">
        <f>IF(Intro!$G$20="English",O306,P306)</f>
        <v>Provide details of any factors other than material costs (for example, exchange rate fluctuations) that have affected the prices of the goods in the Canadian market since January 1, 2023.</v>
      </c>
      <c r="C306" s="501"/>
      <c r="D306" s="501"/>
      <c r="E306" s="501"/>
      <c r="F306" s="501"/>
      <c r="G306" s="501"/>
      <c r="H306" s="501"/>
      <c r="I306" s="501"/>
      <c r="J306" s="501"/>
      <c r="K306" s="501"/>
      <c r="L306" s="502"/>
      <c r="O306" s="10"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6" s="10"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06" s="10"/>
      <c r="R306" s="10"/>
      <c r="S306" s="10"/>
      <c r="T306" s="10"/>
      <c r="U306" s="10"/>
    </row>
    <row r="307" spans="1:21" s="38" customFormat="1" x14ac:dyDescent="0.3">
      <c r="A307" s="95"/>
      <c r="B307" s="500"/>
      <c r="C307" s="501"/>
      <c r="D307" s="501"/>
      <c r="E307" s="501"/>
      <c r="F307" s="501"/>
      <c r="G307" s="501"/>
      <c r="H307" s="501"/>
      <c r="I307" s="501"/>
      <c r="J307" s="501"/>
      <c r="K307" s="501"/>
      <c r="L307" s="502"/>
      <c r="O307" s="10"/>
      <c r="P307" s="10"/>
      <c r="Q307" s="10"/>
      <c r="R307" s="10"/>
      <c r="S307" s="10"/>
      <c r="T307" s="10"/>
      <c r="U307" s="10"/>
    </row>
    <row r="308" spans="1:21" s="38" customFormat="1" x14ac:dyDescent="0.3">
      <c r="A308" s="95"/>
      <c r="B308" s="53"/>
      <c r="C308" s="94"/>
      <c r="D308" s="94"/>
      <c r="E308" s="94"/>
      <c r="F308" s="94"/>
      <c r="G308" s="94"/>
      <c r="H308" s="94"/>
      <c r="I308" s="94"/>
      <c r="J308" s="94"/>
      <c r="K308" s="94"/>
      <c r="L308" s="54"/>
      <c r="O308" s="10"/>
      <c r="P308" s="10"/>
      <c r="Q308" s="10"/>
      <c r="R308" s="10"/>
      <c r="S308" s="10"/>
      <c r="T308" s="10"/>
      <c r="U308" s="10"/>
    </row>
    <row r="309" spans="1:21" s="11" customFormat="1" x14ac:dyDescent="0.3">
      <c r="A309" s="8"/>
      <c r="B309" s="639"/>
      <c r="C309" s="640"/>
      <c r="D309" s="640"/>
      <c r="E309" s="640"/>
      <c r="F309" s="640"/>
      <c r="G309" s="640"/>
      <c r="H309" s="640"/>
      <c r="I309" s="640"/>
      <c r="J309" s="640"/>
      <c r="K309" s="640"/>
      <c r="L309" s="641"/>
      <c r="M309" s="38"/>
      <c r="Q309" s="10"/>
    </row>
    <row r="310" spans="1:21" s="11" customFormat="1" x14ac:dyDescent="0.3">
      <c r="A310" s="8"/>
      <c r="B310" s="639"/>
      <c r="C310" s="640"/>
      <c r="D310" s="640"/>
      <c r="E310" s="640"/>
      <c r="F310" s="640"/>
      <c r="G310" s="640"/>
      <c r="H310" s="640"/>
      <c r="I310" s="640"/>
      <c r="J310" s="640"/>
      <c r="K310" s="640"/>
      <c r="L310" s="641"/>
      <c r="M310" s="38"/>
      <c r="Q310" s="10"/>
    </row>
    <row r="311" spans="1:21" s="11" customFormat="1" x14ac:dyDescent="0.3">
      <c r="A311" s="8"/>
      <c r="B311" s="639"/>
      <c r="C311" s="640"/>
      <c r="D311" s="640"/>
      <c r="E311" s="640"/>
      <c r="F311" s="640"/>
      <c r="G311" s="640"/>
      <c r="H311" s="640"/>
      <c r="I311" s="640"/>
      <c r="J311" s="640"/>
      <c r="K311" s="640"/>
      <c r="L311" s="641"/>
      <c r="M311" s="38"/>
      <c r="Q311" s="10"/>
    </row>
    <row r="312" spans="1:21" s="11" customFormat="1" x14ac:dyDescent="0.3">
      <c r="A312" s="8"/>
      <c r="B312" s="639"/>
      <c r="C312" s="640"/>
      <c r="D312" s="640"/>
      <c r="E312" s="640"/>
      <c r="F312" s="640"/>
      <c r="G312" s="640"/>
      <c r="H312" s="640"/>
      <c r="I312" s="640"/>
      <c r="J312" s="640"/>
      <c r="K312" s="640"/>
      <c r="L312" s="641"/>
      <c r="M312" s="38"/>
      <c r="Q312" s="10"/>
    </row>
    <row r="313" spans="1:21" s="11" customFormat="1" x14ac:dyDescent="0.3">
      <c r="A313" s="8"/>
      <c r="B313" s="639"/>
      <c r="C313" s="640"/>
      <c r="D313" s="640"/>
      <c r="E313" s="640"/>
      <c r="F313" s="640"/>
      <c r="G313" s="640"/>
      <c r="H313" s="640"/>
      <c r="I313" s="640"/>
      <c r="J313" s="640"/>
      <c r="K313" s="640"/>
      <c r="L313" s="641"/>
      <c r="M313" s="38"/>
      <c r="Q313" s="10"/>
    </row>
    <row r="314" spans="1:21" s="11" customFormat="1" x14ac:dyDescent="0.3">
      <c r="A314" s="8"/>
      <c r="B314" s="639"/>
      <c r="C314" s="640"/>
      <c r="D314" s="640"/>
      <c r="E314" s="640"/>
      <c r="F314" s="640"/>
      <c r="G314" s="640"/>
      <c r="H314" s="640"/>
      <c r="I314" s="640"/>
      <c r="J314" s="640"/>
      <c r="K314" s="640"/>
      <c r="L314" s="641"/>
      <c r="M314" s="38"/>
      <c r="Q314" s="10"/>
    </row>
    <row r="315" spans="1:21" s="11" customFormat="1" x14ac:dyDescent="0.3">
      <c r="A315" s="8"/>
      <c r="B315" s="639"/>
      <c r="C315" s="640"/>
      <c r="D315" s="640"/>
      <c r="E315" s="640"/>
      <c r="F315" s="640"/>
      <c r="G315" s="640"/>
      <c r="H315" s="640"/>
      <c r="I315" s="640"/>
      <c r="J315" s="640"/>
      <c r="K315" s="640"/>
      <c r="L315" s="641"/>
      <c r="M315" s="38"/>
      <c r="Q315" s="10"/>
    </row>
    <row r="316" spans="1:21" s="11" customFormat="1" x14ac:dyDescent="0.3">
      <c r="A316" s="8"/>
      <c r="B316" s="639"/>
      <c r="C316" s="640"/>
      <c r="D316" s="640"/>
      <c r="E316" s="640"/>
      <c r="F316" s="640"/>
      <c r="G316" s="640"/>
      <c r="H316" s="640"/>
      <c r="I316" s="640"/>
      <c r="J316" s="640"/>
      <c r="K316" s="640"/>
      <c r="L316" s="641"/>
      <c r="M316" s="38"/>
      <c r="Q316" s="10"/>
    </row>
    <row r="317" spans="1:21" s="38" customFormat="1" x14ac:dyDescent="0.3">
      <c r="A317" s="95"/>
      <c r="B317" s="50"/>
      <c r="C317" s="51"/>
      <c r="D317" s="51"/>
      <c r="E317" s="51"/>
      <c r="F317" s="51"/>
      <c r="G317" s="51"/>
      <c r="H317" s="51"/>
      <c r="I317" s="51"/>
      <c r="J317" s="51"/>
      <c r="K317" s="51"/>
      <c r="L317" s="52"/>
      <c r="O317" s="10"/>
      <c r="P317" s="10"/>
      <c r="Q317" s="10"/>
      <c r="R317" s="10"/>
      <c r="S317" s="10"/>
      <c r="T317" s="10"/>
      <c r="U317" s="10"/>
    </row>
    <row r="318" spans="1:21" s="11" customFormat="1" x14ac:dyDescent="0.3">
      <c r="A318" s="7"/>
      <c r="B318" s="650" t="s">
        <v>79</v>
      </c>
      <c r="C318" s="651"/>
      <c r="D318" s="651"/>
      <c r="E318" s="651"/>
      <c r="F318" s="651"/>
      <c r="G318" s="651"/>
      <c r="H318" s="651"/>
      <c r="I318" s="651"/>
      <c r="J318" s="651"/>
      <c r="K318" s="651"/>
      <c r="L318" s="652"/>
      <c r="M318" s="73"/>
    </row>
    <row r="319" spans="1:21" s="38" customFormat="1" x14ac:dyDescent="0.3">
      <c r="A319" s="95"/>
      <c r="B319" s="53"/>
      <c r="C319" s="94"/>
      <c r="D319" s="94"/>
      <c r="E319" s="94"/>
      <c r="F319" s="94"/>
      <c r="G319" s="94"/>
      <c r="H319" s="94"/>
      <c r="I319" s="94"/>
      <c r="J319" s="94"/>
      <c r="K319" s="94"/>
      <c r="L319" s="54"/>
      <c r="O319" s="10"/>
      <c r="P319" s="10"/>
      <c r="Q319" s="10"/>
      <c r="R319" s="10"/>
      <c r="S319" s="10"/>
      <c r="T319" s="10"/>
      <c r="U319" s="10"/>
    </row>
    <row r="320" spans="1:21" s="38" customFormat="1" x14ac:dyDescent="0.3">
      <c r="A320" s="95"/>
      <c r="B320" s="625" t="str">
        <f>IF(Intro!$G$20="English",O320,P320)</f>
        <v>Describe how delivery of the goods sold by your firm is paid for.</v>
      </c>
      <c r="C320" s="626"/>
      <c r="D320" s="626"/>
      <c r="E320" s="626"/>
      <c r="F320" s="626"/>
      <c r="G320" s="626"/>
      <c r="H320" s="626"/>
      <c r="I320" s="626"/>
      <c r="J320" s="626"/>
      <c r="K320" s="626"/>
      <c r="L320" s="627"/>
      <c r="O320" s="10" t="s">
        <v>128</v>
      </c>
      <c r="P320" s="10" t="s">
        <v>209</v>
      </c>
      <c r="Q320" s="10"/>
      <c r="R320" s="10"/>
      <c r="S320" s="10"/>
      <c r="T320" s="10"/>
      <c r="U320" s="10"/>
    </row>
    <row r="321" spans="1:21" s="38" customFormat="1" x14ac:dyDescent="0.3">
      <c r="A321" s="95"/>
      <c r="B321" s="53"/>
      <c r="C321" s="94"/>
      <c r="D321" s="94"/>
      <c r="E321" s="94"/>
      <c r="F321" s="94"/>
      <c r="G321" s="94"/>
      <c r="H321" s="246" t="str">
        <f>IF(Intro!$G$20="English",O321,P321)</f>
        <v>Select all that apply</v>
      </c>
      <c r="I321" s="94"/>
      <c r="J321" s="94"/>
      <c r="K321" s="94"/>
      <c r="L321" s="54"/>
      <c r="O321" s="10" t="s">
        <v>518</v>
      </c>
      <c r="P321" s="10" t="s">
        <v>519</v>
      </c>
      <c r="Q321" s="10"/>
      <c r="R321" s="10"/>
      <c r="S321" s="10"/>
      <c r="T321" s="10"/>
      <c r="U321" s="10"/>
    </row>
    <row r="322" spans="1:21" ht="14.25" customHeight="1" x14ac:dyDescent="0.3">
      <c r="A322" s="7"/>
      <c r="B322" s="659" t="str">
        <f>IF(Intro!$G$20="English",O322,P322)</f>
        <v xml:space="preserve">Your firm handles delivery, and the cost is built into the price. </v>
      </c>
      <c r="C322" s="660"/>
      <c r="D322" s="660"/>
      <c r="E322" s="660"/>
      <c r="F322" s="660"/>
      <c r="G322" s="661"/>
      <c r="H322" s="208"/>
      <c r="I322" s="94"/>
      <c r="J322" s="94"/>
      <c r="K322" s="94"/>
      <c r="L322" s="54"/>
      <c r="M322" s="10"/>
      <c r="O322" s="6" t="s">
        <v>510</v>
      </c>
      <c r="P322" s="6" t="s">
        <v>513</v>
      </c>
    </row>
    <row r="323" spans="1:21" ht="14.25" customHeight="1" x14ac:dyDescent="0.3">
      <c r="A323" s="7"/>
      <c r="B323" s="659" t="str">
        <f>IF(Intro!$G$20="English",O323,P323)</f>
        <v xml:space="preserve">Your firm handles delivery, but charges the purchaser separately for it. </v>
      </c>
      <c r="C323" s="660"/>
      <c r="D323" s="660"/>
      <c r="E323" s="660"/>
      <c r="F323" s="660"/>
      <c r="G323" s="661"/>
      <c r="H323" s="208"/>
      <c r="I323" s="94"/>
      <c r="J323" s="94"/>
      <c r="K323" s="94"/>
      <c r="L323" s="54"/>
      <c r="M323" s="10"/>
      <c r="O323" s="6" t="s">
        <v>511</v>
      </c>
      <c r="P323" s="6" t="s">
        <v>514</v>
      </c>
    </row>
    <row r="324" spans="1:21" ht="14.25" customHeight="1" x14ac:dyDescent="0.3">
      <c r="A324" s="7"/>
      <c r="B324" s="659" t="str">
        <f>IF(Intro!$G$20="English",O324,P324)</f>
        <v xml:space="preserve">The purchaser arranges and pays for delivery directly. </v>
      </c>
      <c r="C324" s="660"/>
      <c r="D324" s="660"/>
      <c r="E324" s="660"/>
      <c r="F324" s="660"/>
      <c r="G324" s="661"/>
      <c r="H324" s="208"/>
      <c r="I324" s="94"/>
      <c r="J324" s="94"/>
      <c r="K324" s="94"/>
      <c r="L324" s="54"/>
      <c r="M324" s="10"/>
      <c r="O324" s="6" t="s">
        <v>512</v>
      </c>
      <c r="P324" s="6" t="s">
        <v>515</v>
      </c>
    </row>
    <row r="325" spans="1:21" s="38" customFormat="1" x14ac:dyDescent="0.3">
      <c r="A325" s="95"/>
      <c r="B325" s="53"/>
      <c r="C325" s="94"/>
      <c r="D325" s="94"/>
      <c r="E325" s="94"/>
      <c r="F325" s="94"/>
      <c r="G325" s="94"/>
      <c r="H325" s="94"/>
      <c r="I325" s="94"/>
      <c r="J325" s="94"/>
      <c r="K325" s="94"/>
      <c r="L325" s="54"/>
      <c r="O325" s="10"/>
      <c r="P325" s="10"/>
      <c r="Q325" s="10"/>
      <c r="R325" s="10"/>
      <c r="S325" s="10"/>
      <c r="T325" s="10"/>
      <c r="U325" s="10"/>
    </row>
    <row r="326" spans="1:21" s="38" customFormat="1" x14ac:dyDescent="0.3">
      <c r="A326" s="95"/>
      <c r="B326" s="625" t="str">
        <f>IF(Intro!$G$20="English",O326,P326)</f>
        <v>Explain if the method of paying for delivery of the goods sold by your firm has changed since January 1, 2023.</v>
      </c>
      <c r="C326" s="626"/>
      <c r="D326" s="626"/>
      <c r="E326" s="626"/>
      <c r="F326" s="626"/>
      <c r="G326" s="626"/>
      <c r="H326" s="626"/>
      <c r="I326" s="626"/>
      <c r="J326" s="626"/>
      <c r="K326" s="626"/>
      <c r="L326" s="627"/>
      <c r="O326" s="10" t="str">
        <f>"Explain if the method of paying for delivery of the goods sold by your firm has changed since January 1, "&amp;Variables!B6&amp;"."</f>
        <v>Explain if the method of paying for delivery of the goods sold by your firm has changed since January 1, 2023.</v>
      </c>
      <c r="P326" s="10"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26" s="10"/>
      <c r="R326" s="10"/>
      <c r="S326" s="10"/>
      <c r="T326" s="10"/>
      <c r="U326" s="10"/>
    </row>
    <row r="327" spans="1:21" s="38" customFormat="1" x14ac:dyDescent="0.3">
      <c r="A327" s="95"/>
      <c r="B327" s="53"/>
      <c r="C327" s="94"/>
      <c r="D327" s="94"/>
      <c r="E327" s="94"/>
      <c r="F327" s="94"/>
      <c r="G327" s="94"/>
      <c r="H327" s="94"/>
      <c r="I327" s="94"/>
      <c r="J327" s="94"/>
      <c r="K327" s="94"/>
      <c r="L327" s="54"/>
      <c r="O327" s="10"/>
      <c r="P327" s="10"/>
      <c r="Q327" s="10"/>
      <c r="R327" s="10"/>
      <c r="S327" s="10"/>
      <c r="T327" s="10"/>
      <c r="U327" s="10"/>
    </row>
    <row r="328" spans="1:21" s="11" customFormat="1" x14ac:dyDescent="0.3">
      <c r="A328" s="8"/>
      <c r="B328" s="639"/>
      <c r="C328" s="640"/>
      <c r="D328" s="640"/>
      <c r="E328" s="640"/>
      <c r="F328" s="640"/>
      <c r="G328" s="640"/>
      <c r="H328" s="640"/>
      <c r="I328" s="640"/>
      <c r="J328" s="640"/>
      <c r="K328" s="640"/>
      <c r="L328" s="641"/>
      <c r="M328" s="38"/>
      <c r="Q328" s="10"/>
    </row>
    <row r="329" spans="1:21" s="11" customFormat="1" x14ac:dyDescent="0.3">
      <c r="A329" s="8"/>
      <c r="B329" s="639"/>
      <c r="C329" s="640"/>
      <c r="D329" s="640"/>
      <c r="E329" s="640"/>
      <c r="F329" s="640"/>
      <c r="G329" s="640"/>
      <c r="H329" s="640"/>
      <c r="I329" s="640"/>
      <c r="J329" s="640"/>
      <c r="K329" s="640"/>
      <c r="L329" s="641"/>
      <c r="M329" s="38"/>
      <c r="Q329" s="10"/>
    </row>
    <row r="330" spans="1:21" s="11" customFormat="1" x14ac:dyDescent="0.3">
      <c r="A330" s="8"/>
      <c r="B330" s="639"/>
      <c r="C330" s="640"/>
      <c r="D330" s="640"/>
      <c r="E330" s="640"/>
      <c r="F330" s="640"/>
      <c r="G330" s="640"/>
      <c r="H330" s="640"/>
      <c r="I330" s="640"/>
      <c r="J330" s="640"/>
      <c r="K330" s="640"/>
      <c r="L330" s="641"/>
      <c r="M330" s="38"/>
      <c r="Q330" s="10"/>
    </row>
    <row r="331" spans="1:21" s="11" customFormat="1" x14ac:dyDescent="0.3">
      <c r="A331" s="8"/>
      <c r="B331" s="639"/>
      <c r="C331" s="640"/>
      <c r="D331" s="640"/>
      <c r="E331" s="640"/>
      <c r="F331" s="640"/>
      <c r="G331" s="640"/>
      <c r="H331" s="640"/>
      <c r="I331" s="640"/>
      <c r="J331" s="640"/>
      <c r="K331" s="640"/>
      <c r="L331" s="641"/>
      <c r="M331" s="38"/>
      <c r="Q331" s="10"/>
    </row>
    <row r="332" spans="1:21" s="11" customFormat="1" x14ac:dyDescent="0.3">
      <c r="A332" s="8"/>
      <c r="B332" s="639"/>
      <c r="C332" s="640"/>
      <c r="D332" s="640"/>
      <c r="E332" s="640"/>
      <c r="F332" s="640"/>
      <c r="G332" s="640"/>
      <c r="H332" s="640"/>
      <c r="I332" s="640"/>
      <c r="J332" s="640"/>
      <c r="K332" s="640"/>
      <c r="L332" s="641"/>
      <c r="M332" s="38"/>
      <c r="Q332" s="10"/>
    </row>
    <row r="333" spans="1:21" s="11" customFormat="1" x14ac:dyDescent="0.3">
      <c r="A333" s="8"/>
      <c r="B333" s="639"/>
      <c r="C333" s="640"/>
      <c r="D333" s="640"/>
      <c r="E333" s="640"/>
      <c r="F333" s="640"/>
      <c r="G333" s="640"/>
      <c r="H333" s="640"/>
      <c r="I333" s="640"/>
      <c r="J333" s="640"/>
      <c r="K333" s="640"/>
      <c r="L333" s="641"/>
      <c r="M333" s="38"/>
      <c r="Q333" s="10"/>
    </row>
    <row r="334" spans="1:21" s="11" customFormat="1" x14ac:dyDescent="0.3">
      <c r="A334" s="8"/>
      <c r="B334" s="639"/>
      <c r="C334" s="640"/>
      <c r="D334" s="640"/>
      <c r="E334" s="640"/>
      <c r="F334" s="640"/>
      <c r="G334" s="640"/>
      <c r="H334" s="640"/>
      <c r="I334" s="640"/>
      <c r="J334" s="640"/>
      <c r="K334" s="640"/>
      <c r="L334" s="641"/>
      <c r="M334" s="38"/>
      <c r="Q334" s="10"/>
    </row>
    <row r="335" spans="1:21" s="11" customFormat="1" x14ac:dyDescent="0.3">
      <c r="A335" s="8"/>
      <c r="B335" s="639"/>
      <c r="C335" s="640"/>
      <c r="D335" s="640"/>
      <c r="E335" s="640"/>
      <c r="F335" s="640"/>
      <c r="G335" s="640"/>
      <c r="H335" s="640"/>
      <c r="I335" s="640"/>
      <c r="J335" s="640"/>
      <c r="K335" s="640"/>
      <c r="L335" s="641"/>
      <c r="M335" s="38"/>
      <c r="Q335" s="10"/>
    </row>
    <row r="336" spans="1:21" s="38" customFormat="1" x14ac:dyDescent="0.3">
      <c r="A336" s="95"/>
      <c r="B336" s="50"/>
      <c r="C336" s="51"/>
      <c r="D336" s="51"/>
      <c r="E336" s="51"/>
      <c r="F336" s="51"/>
      <c r="G336" s="51"/>
      <c r="H336" s="51"/>
      <c r="I336" s="51"/>
      <c r="J336" s="51"/>
      <c r="K336" s="51"/>
      <c r="L336" s="52"/>
      <c r="O336" s="10"/>
      <c r="P336" s="10"/>
      <c r="Q336" s="10"/>
      <c r="R336" s="10"/>
      <c r="S336" s="10"/>
      <c r="T336" s="10"/>
      <c r="U336" s="10"/>
    </row>
    <row r="337" spans="1:21" s="11" customFormat="1" x14ac:dyDescent="0.3">
      <c r="A337" s="7"/>
      <c r="B337" s="650" t="s">
        <v>80</v>
      </c>
      <c r="C337" s="651"/>
      <c r="D337" s="651"/>
      <c r="E337" s="651"/>
      <c r="F337" s="651"/>
      <c r="G337" s="651"/>
      <c r="H337" s="651"/>
      <c r="I337" s="651"/>
      <c r="J337" s="651"/>
      <c r="K337" s="651"/>
      <c r="L337" s="652"/>
      <c r="M337" s="73"/>
    </row>
    <row r="338" spans="1:21" s="38" customFormat="1" x14ac:dyDescent="0.3">
      <c r="A338" s="95"/>
      <c r="B338" s="53"/>
      <c r="C338" s="94"/>
      <c r="D338" s="94"/>
      <c r="E338" s="94"/>
      <c r="F338" s="94"/>
      <c r="G338" s="94"/>
      <c r="H338" s="94"/>
      <c r="I338" s="94"/>
      <c r="J338" s="94"/>
      <c r="K338" s="94"/>
      <c r="L338" s="54"/>
      <c r="O338" s="10"/>
      <c r="P338" s="10"/>
      <c r="Q338" s="10"/>
      <c r="R338" s="10"/>
      <c r="S338" s="10"/>
      <c r="T338" s="10"/>
      <c r="U338" s="10"/>
    </row>
    <row r="339" spans="1:21" s="38" customFormat="1" x14ac:dyDescent="0.3">
      <c r="A339" s="95"/>
      <c r="B339" s="625" t="str">
        <f>IF(Intro!$G$20="English",O339,P339)</f>
        <v>Explain if demand for the goods or sales of the goods has changed since January 1, 2023.</v>
      </c>
      <c r="C339" s="626"/>
      <c r="D339" s="626"/>
      <c r="E339" s="626"/>
      <c r="F339" s="626"/>
      <c r="G339" s="626"/>
      <c r="H339" s="626"/>
      <c r="I339" s="626"/>
      <c r="J339" s="626"/>
      <c r="K339" s="626"/>
      <c r="L339" s="627"/>
      <c r="O339" s="10" t="str">
        <f>"Explain if demand for the goods or sales of the goods has changed since January 1, "&amp;Variables!B6&amp;"."</f>
        <v>Explain if demand for the goods or sales of the goods has changed since January 1, 2023.</v>
      </c>
      <c r="P339" s="10" t="str">
        <f>"Expliquez si la demande pour les marchandises ou les ventes de marchandises ont changé depuis le 1er janvier "&amp;Variables!B6&amp;"."</f>
        <v>Expliquez si la demande pour les marchandises ou les ventes de marchandises ont changé depuis le 1er janvier 2023.</v>
      </c>
      <c r="Q339" s="10"/>
      <c r="R339" s="10"/>
      <c r="S339" s="10"/>
      <c r="T339" s="10"/>
      <c r="U339" s="10"/>
    </row>
    <row r="340" spans="1:21" s="38" customFormat="1" x14ac:dyDescent="0.3">
      <c r="A340" s="95"/>
      <c r="B340" s="53"/>
      <c r="C340" s="94"/>
      <c r="D340" s="94"/>
      <c r="E340" s="94"/>
      <c r="F340" s="94"/>
      <c r="G340" s="94"/>
      <c r="H340" s="94"/>
      <c r="I340" s="94"/>
      <c r="J340" s="94"/>
      <c r="K340" s="94"/>
      <c r="L340" s="54"/>
      <c r="O340" s="10"/>
      <c r="P340" s="10"/>
      <c r="Q340" s="10"/>
      <c r="R340" s="10"/>
      <c r="S340" s="10"/>
      <c r="T340" s="10"/>
      <c r="U340" s="10"/>
    </row>
    <row r="341" spans="1:21" s="11" customFormat="1" x14ac:dyDescent="0.3">
      <c r="A341" s="8"/>
      <c r="B341" s="639"/>
      <c r="C341" s="640"/>
      <c r="D341" s="640"/>
      <c r="E341" s="640"/>
      <c r="F341" s="640"/>
      <c r="G341" s="640"/>
      <c r="H341" s="640"/>
      <c r="I341" s="640"/>
      <c r="J341" s="640"/>
      <c r="K341" s="640"/>
      <c r="L341" s="641"/>
      <c r="M341" s="38"/>
      <c r="Q341" s="10"/>
    </row>
    <row r="342" spans="1:21" s="11" customFormat="1" x14ac:dyDescent="0.3">
      <c r="A342" s="8"/>
      <c r="B342" s="639"/>
      <c r="C342" s="640"/>
      <c r="D342" s="640"/>
      <c r="E342" s="640"/>
      <c r="F342" s="640"/>
      <c r="G342" s="640"/>
      <c r="H342" s="640"/>
      <c r="I342" s="640"/>
      <c r="J342" s="640"/>
      <c r="K342" s="640"/>
      <c r="L342" s="641"/>
      <c r="M342" s="38"/>
      <c r="Q342" s="10"/>
    </row>
    <row r="343" spans="1:21" s="11" customFormat="1" x14ac:dyDescent="0.3">
      <c r="A343" s="8"/>
      <c r="B343" s="639"/>
      <c r="C343" s="640"/>
      <c r="D343" s="640"/>
      <c r="E343" s="640"/>
      <c r="F343" s="640"/>
      <c r="G343" s="640"/>
      <c r="H343" s="640"/>
      <c r="I343" s="640"/>
      <c r="J343" s="640"/>
      <c r="K343" s="640"/>
      <c r="L343" s="641"/>
      <c r="M343" s="38"/>
      <c r="Q343" s="10"/>
    </row>
    <row r="344" spans="1:21" s="11" customFormat="1" x14ac:dyDescent="0.3">
      <c r="A344" s="8"/>
      <c r="B344" s="639"/>
      <c r="C344" s="640"/>
      <c r="D344" s="640"/>
      <c r="E344" s="640"/>
      <c r="F344" s="640"/>
      <c r="G344" s="640"/>
      <c r="H344" s="640"/>
      <c r="I344" s="640"/>
      <c r="J344" s="640"/>
      <c r="K344" s="640"/>
      <c r="L344" s="641"/>
      <c r="M344" s="38"/>
      <c r="Q344" s="10"/>
    </row>
    <row r="345" spans="1:21" s="11" customFormat="1" x14ac:dyDescent="0.3">
      <c r="A345" s="8"/>
      <c r="B345" s="639"/>
      <c r="C345" s="640"/>
      <c r="D345" s="640"/>
      <c r="E345" s="640"/>
      <c r="F345" s="640"/>
      <c r="G345" s="640"/>
      <c r="H345" s="640"/>
      <c r="I345" s="640"/>
      <c r="J345" s="640"/>
      <c r="K345" s="640"/>
      <c r="L345" s="641"/>
      <c r="M345" s="38"/>
      <c r="Q345" s="10"/>
    </row>
    <row r="346" spans="1:21" s="11" customFormat="1" x14ac:dyDescent="0.3">
      <c r="A346" s="8"/>
      <c r="B346" s="639"/>
      <c r="C346" s="640"/>
      <c r="D346" s="640"/>
      <c r="E346" s="640"/>
      <c r="F346" s="640"/>
      <c r="G346" s="640"/>
      <c r="H346" s="640"/>
      <c r="I346" s="640"/>
      <c r="J346" s="640"/>
      <c r="K346" s="640"/>
      <c r="L346" s="641"/>
      <c r="M346" s="38"/>
      <c r="Q346" s="10"/>
    </row>
    <row r="347" spans="1:21" s="11" customFormat="1" x14ac:dyDescent="0.3">
      <c r="A347" s="8"/>
      <c r="B347" s="639"/>
      <c r="C347" s="640"/>
      <c r="D347" s="640"/>
      <c r="E347" s="640"/>
      <c r="F347" s="640"/>
      <c r="G347" s="640"/>
      <c r="H347" s="640"/>
      <c r="I347" s="640"/>
      <c r="J347" s="640"/>
      <c r="K347" s="640"/>
      <c r="L347" s="641"/>
      <c r="M347" s="38"/>
      <c r="Q347" s="10"/>
    </row>
    <row r="348" spans="1:21" s="11" customFormat="1" x14ac:dyDescent="0.3">
      <c r="A348" s="8"/>
      <c r="B348" s="639"/>
      <c r="C348" s="640"/>
      <c r="D348" s="640"/>
      <c r="E348" s="640"/>
      <c r="F348" s="640"/>
      <c r="G348" s="640"/>
      <c r="H348" s="640"/>
      <c r="I348" s="640"/>
      <c r="J348" s="640"/>
      <c r="K348" s="640"/>
      <c r="L348" s="641"/>
      <c r="M348" s="38"/>
      <c r="Q348" s="10"/>
    </row>
    <row r="349" spans="1:21" s="38" customFormat="1" x14ac:dyDescent="0.3">
      <c r="A349" s="95"/>
      <c r="B349" s="50"/>
      <c r="C349" s="51"/>
      <c r="D349" s="51"/>
      <c r="E349" s="51"/>
      <c r="F349" s="51"/>
      <c r="G349" s="51"/>
      <c r="H349" s="51"/>
      <c r="I349" s="51"/>
      <c r="J349" s="51"/>
      <c r="K349" s="51"/>
      <c r="L349" s="52"/>
      <c r="O349" s="10"/>
      <c r="P349" s="10"/>
      <c r="Q349" s="10"/>
      <c r="R349" s="10"/>
      <c r="S349" s="10"/>
      <c r="T349" s="10"/>
      <c r="U349" s="10"/>
    </row>
    <row r="350" spans="1:21" x14ac:dyDescent="0.3">
      <c r="A350" s="7"/>
    </row>
    <row r="351" spans="1:21" x14ac:dyDescent="0.3">
      <c r="A351" s="7"/>
      <c r="B351" s="506" t="str">
        <f>IF(Intro!$G$20="English",O351,P351)</f>
        <v>MARKETS</v>
      </c>
      <c r="C351" s="507"/>
      <c r="D351" s="507"/>
      <c r="E351" s="507"/>
      <c r="F351" s="507"/>
      <c r="G351" s="507"/>
      <c r="H351" s="507"/>
      <c r="I351" s="507"/>
      <c r="J351" s="507"/>
      <c r="K351" s="507"/>
      <c r="L351" s="508"/>
      <c r="M351" s="38"/>
      <c r="O351" s="107" t="s">
        <v>325</v>
      </c>
      <c r="P351" s="107" t="s">
        <v>326</v>
      </c>
    </row>
    <row r="352" spans="1:21" x14ac:dyDescent="0.3">
      <c r="A352" s="7"/>
      <c r="B352" s="647" t="s">
        <v>81</v>
      </c>
      <c r="C352" s="648"/>
      <c r="D352" s="648"/>
      <c r="E352" s="648"/>
      <c r="F352" s="648"/>
      <c r="G352" s="648"/>
      <c r="H352" s="648"/>
      <c r="I352" s="648"/>
      <c r="J352" s="648"/>
      <c r="K352" s="648"/>
      <c r="L352" s="649"/>
      <c r="M352" s="10"/>
    </row>
    <row r="353" spans="1:21" x14ac:dyDescent="0.3">
      <c r="A353" s="7"/>
      <c r="B353" s="16"/>
      <c r="C353" s="35"/>
      <c r="D353" s="36"/>
      <c r="E353" s="36"/>
      <c r="F353" s="36"/>
      <c r="G353" s="36"/>
      <c r="H353" s="36"/>
      <c r="I353" s="36"/>
      <c r="J353" s="36"/>
      <c r="K353" s="36"/>
      <c r="L353" s="17"/>
      <c r="M353" s="10"/>
    </row>
    <row r="354" spans="1:21" x14ac:dyDescent="0.3">
      <c r="A354" s="7"/>
      <c r="B354" s="500" t="str">
        <f>IF(Intro!$G$20="English",O354,P354)</f>
        <v>Describe the markets for the goods in Canada and globally since January 1, 2023. Factors to consider in your response include, but are not limited to, demand, sales, prices, capacity utilization and import volumes of the goods.</v>
      </c>
      <c r="C354" s="501"/>
      <c r="D354" s="501"/>
      <c r="E354" s="501"/>
      <c r="F354" s="501"/>
      <c r="G354" s="501"/>
      <c r="H354" s="501"/>
      <c r="I354" s="501"/>
      <c r="J354" s="501"/>
      <c r="K354" s="501"/>
      <c r="L354" s="502"/>
      <c r="M354" s="10"/>
      <c r="O354" s="18"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4" s="10"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5" spans="1:21" x14ac:dyDescent="0.3">
      <c r="A355" s="7"/>
      <c r="B355" s="500"/>
      <c r="C355" s="501"/>
      <c r="D355" s="501"/>
      <c r="E355" s="501"/>
      <c r="F355" s="501"/>
      <c r="G355" s="501"/>
      <c r="H355" s="501"/>
      <c r="I355" s="501"/>
      <c r="J355" s="501"/>
      <c r="K355" s="501"/>
      <c r="L355" s="502"/>
      <c r="M355" s="10"/>
      <c r="O355" s="18"/>
    </row>
    <row r="356" spans="1:21" s="38" customFormat="1" x14ac:dyDescent="0.3">
      <c r="A356" s="95"/>
      <c r="B356" s="53"/>
      <c r="C356" s="94"/>
      <c r="D356" s="94"/>
      <c r="E356" s="94"/>
      <c r="F356" s="94"/>
      <c r="G356" s="94"/>
      <c r="H356" s="94"/>
      <c r="I356" s="94"/>
      <c r="J356" s="94"/>
      <c r="K356" s="94"/>
      <c r="L356" s="54"/>
      <c r="O356" s="10"/>
      <c r="P356" s="10"/>
      <c r="Q356" s="10"/>
      <c r="R356" s="10"/>
      <c r="S356" s="10"/>
      <c r="T356" s="10"/>
      <c r="U356" s="10"/>
    </row>
    <row r="357" spans="1:21" s="11" customFormat="1" x14ac:dyDescent="0.3">
      <c r="A357" s="8"/>
      <c r="B357" s="639"/>
      <c r="C357" s="640"/>
      <c r="D357" s="640"/>
      <c r="E357" s="640"/>
      <c r="F357" s="640"/>
      <c r="G357" s="640"/>
      <c r="H357" s="640"/>
      <c r="I357" s="640"/>
      <c r="J357" s="640"/>
      <c r="K357" s="640"/>
      <c r="L357" s="641"/>
      <c r="M357" s="38"/>
      <c r="Q357" s="10"/>
    </row>
    <row r="358" spans="1:21" s="11" customFormat="1" x14ac:dyDescent="0.3">
      <c r="A358" s="8"/>
      <c r="B358" s="639"/>
      <c r="C358" s="640"/>
      <c r="D358" s="640"/>
      <c r="E358" s="640"/>
      <c r="F358" s="640"/>
      <c r="G358" s="640"/>
      <c r="H358" s="640"/>
      <c r="I358" s="640"/>
      <c r="J358" s="640"/>
      <c r="K358" s="640"/>
      <c r="L358" s="641"/>
      <c r="M358" s="38"/>
      <c r="Q358" s="10"/>
    </row>
    <row r="359" spans="1:21" s="11" customFormat="1" x14ac:dyDescent="0.3">
      <c r="A359" s="8"/>
      <c r="B359" s="639"/>
      <c r="C359" s="640"/>
      <c r="D359" s="640"/>
      <c r="E359" s="640"/>
      <c r="F359" s="640"/>
      <c r="G359" s="640"/>
      <c r="H359" s="640"/>
      <c r="I359" s="640"/>
      <c r="J359" s="640"/>
      <c r="K359" s="640"/>
      <c r="L359" s="641"/>
      <c r="M359" s="38"/>
      <c r="Q359" s="10"/>
    </row>
    <row r="360" spans="1:21" s="11" customFormat="1" x14ac:dyDescent="0.3">
      <c r="A360" s="8"/>
      <c r="B360" s="639"/>
      <c r="C360" s="640"/>
      <c r="D360" s="640"/>
      <c r="E360" s="640"/>
      <c r="F360" s="640"/>
      <c r="G360" s="640"/>
      <c r="H360" s="640"/>
      <c r="I360" s="640"/>
      <c r="J360" s="640"/>
      <c r="K360" s="640"/>
      <c r="L360" s="641"/>
      <c r="M360" s="38"/>
      <c r="Q360" s="10"/>
    </row>
    <row r="361" spans="1:21" s="11" customFormat="1" x14ac:dyDescent="0.3">
      <c r="A361" s="8"/>
      <c r="B361" s="639"/>
      <c r="C361" s="640"/>
      <c r="D361" s="640"/>
      <c r="E361" s="640"/>
      <c r="F361" s="640"/>
      <c r="G361" s="640"/>
      <c r="H361" s="640"/>
      <c r="I361" s="640"/>
      <c r="J361" s="640"/>
      <c r="K361" s="640"/>
      <c r="L361" s="641"/>
      <c r="M361" s="38"/>
      <c r="Q361" s="10"/>
    </row>
    <row r="362" spans="1:21" s="11" customFormat="1" x14ac:dyDescent="0.3">
      <c r="A362" s="8"/>
      <c r="B362" s="639"/>
      <c r="C362" s="640"/>
      <c r="D362" s="640"/>
      <c r="E362" s="640"/>
      <c r="F362" s="640"/>
      <c r="G362" s="640"/>
      <c r="H362" s="640"/>
      <c r="I362" s="640"/>
      <c r="J362" s="640"/>
      <c r="K362" s="640"/>
      <c r="L362" s="641"/>
      <c r="M362" s="38"/>
      <c r="Q362" s="10"/>
    </row>
    <row r="363" spans="1:21" s="11" customFormat="1" x14ac:dyDescent="0.3">
      <c r="A363" s="8"/>
      <c r="B363" s="639"/>
      <c r="C363" s="640"/>
      <c r="D363" s="640"/>
      <c r="E363" s="640"/>
      <c r="F363" s="640"/>
      <c r="G363" s="640"/>
      <c r="H363" s="640"/>
      <c r="I363" s="640"/>
      <c r="J363" s="640"/>
      <c r="K363" s="640"/>
      <c r="L363" s="641"/>
      <c r="M363" s="38"/>
      <c r="Q363" s="10"/>
    </row>
    <row r="364" spans="1:21" s="11" customFormat="1" x14ac:dyDescent="0.3">
      <c r="A364" s="8"/>
      <c r="B364" s="639"/>
      <c r="C364" s="640"/>
      <c r="D364" s="640"/>
      <c r="E364" s="640"/>
      <c r="F364" s="640"/>
      <c r="G364" s="640"/>
      <c r="H364" s="640"/>
      <c r="I364" s="640"/>
      <c r="J364" s="640"/>
      <c r="K364" s="640"/>
      <c r="L364" s="641"/>
      <c r="M364" s="38"/>
      <c r="Q364" s="10"/>
    </row>
    <row r="365" spans="1:21" s="38" customFormat="1" x14ac:dyDescent="0.3">
      <c r="A365" s="95"/>
      <c r="B365" s="50"/>
      <c r="C365" s="51"/>
      <c r="D365" s="51"/>
      <c r="E365" s="51"/>
      <c r="F365" s="51"/>
      <c r="G365" s="51"/>
      <c r="H365" s="51"/>
      <c r="I365" s="51"/>
      <c r="J365" s="51"/>
      <c r="K365" s="51"/>
      <c r="L365" s="52"/>
      <c r="O365" s="10"/>
      <c r="P365" s="10"/>
      <c r="Q365" s="10"/>
      <c r="R365" s="10"/>
      <c r="S365" s="10"/>
      <c r="T365" s="10"/>
      <c r="U365" s="10"/>
    </row>
    <row r="366" spans="1:21" x14ac:dyDescent="0.3">
      <c r="A366" s="7"/>
      <c r="B366" s="650" t="s">
        <v>82</v>
      </c>
      <c r="C366" s="651"/>
      <c r="D366" s="651"/>
      <c r="E366" s="651"/>
      <c r="F366" s="651"/>
      <c r="G366" s="651"/>
      <c r="H366" s="651"/>
      <c r="I366" s="651"/>
      <c r="J366" s="651"/>
      <c r="K366" s="651"/>
      <c r="L366" s="652"/>
      <c r="M366" s="10"/>
    </row>
    <row r="367" spans="1:21" x14ac:dyDescent="0.3">
      <c r="A367" s="7"/>
      <c r="B367" s="16"/>
      <c r="C367" s="35"/>
      <c r="D367" s="36"/>
      <c r="E367" s="36"/>
      <c r="F367" s="36"/>
      <c r="G367" s="36"/>
      <c r="H367" s="36"/>
      <c r="I367" s="36"/>
      <c r="J367" s="36"/>
      <c r="K367" s="36"/>
      <c r="L367" s="17"/>
      <c r="M367" s="10"/>
    </row>
    <row r="368" spans="1:21" x14ac:dyDescent="0.3">
      <c r="A368" s="7"/>
      <c r="B368" s="500" t="str">
        <f>IF(Intro!$G$20="English",O368,P368)</f>
        <v>Explain any changes you expect to see in the Canadian market and in other markets globally for the goods over the next two years with respect to demand, prices, import volumes or any other factor.</v>
      </c>
      <c r="C368" s="501"/>
      <c r="D368" s="501"/>
      <c r="E368" s="501"/>
      <c r="F368" s="501"/>
      <c r="G368" s="501"/>
      <c r="H368" s="501"/>
      <c r="I368" s="501"/>
      <c r="J368" s="501"/>
      <c r="K368" s="501"/>
      <c r="L368" s="502"/>
      <c r="M368" s="10"/>
      <c r="O368" s="18" t="s">
        <v>238</v>
      </c>
      <c r="P368" s="10" t="s">
        <v>187</v>
      </c>
    </row>
    <row r="369" spans="1:21" x14ac:dyDescent="0.3">
      <c r="A369" s="7"/>
      <c r="B369" s="500"/>
      <c r="C369" s="501"/>
      <c r="D369" s="501"/>
      <c r="E369" s="501"/>
      <c r="F369" s="501"/>
      <c r="G369" s="501"/>
      <c r="H369" s="501"/>
      <c r="I369" s="501"/>
      <c r="J369" s="501"/>
      <c r="K369" s="501"/>
      <c r="L369" s="502"/>
      <c r="M369" s="10"/>
      <c r="O369" s="18"/>
    </row>
    <row r="370" spans="1:21" s="38" customFormat="1" x14ac:dyDescent="0.3">
      <c r="A370" s="95"/>
      <c r="B370" s="53"/>
      <c r="C370" s="94"/>
      <c r="D370" s="94"/>
      <c r="E370" s="94"/>
      <c r="F370" s="94"/>
      <c r="G370" s="94"/>
      <c r="H370" s="94"/>
      <c r="I370" s="94"/>
      <c r="J370" s="94"/>
      <c r="K370" s="94"/>
      <c r="L370" s="54"/>
      <c r="O370" s="10"/>
      <c r="P370" s="10"/>
      <c r="Q370" s="10"/>
      <c r="R370" s="10"/>
      <c r="S370" s="10"/>
      <c r="T370" s="10"/>
      <c r="U370" s="10"/>
    </row>
    <row r="371" spans="1:21" s="11" customFormat="1" x14ac:dyDescent="0.3">
      <c r="A371" s="8"/>
      <c r="B371" s="639"/>
      <c r="C371" s="640"/>
      <c r="D371" s="640"/>
      <c r="E371" s="640"/>
      <c r="F371" s="640"/>
      <c r="G371" s="640"/>
      <c r="H371" s="640"/>
      <c r="I371" s="640"/>
      <c r="J371" s="640"/>
      <c r="K371" s="640"/>
      <c r="L371" s="641"/>
      <c r="M371" s="38"/>
      <c r="Q371" s="10"/>
    </row>
    <row r="372" spans="1:21" s="11" customFormat="1" x14ac:dyDescent="0.3">
      <c r="A372" s="8"/>
      <c r="B372" s="639"/>
      <c r="C372" s="640"/>
      <c r="D372" s="640"/>
      <c r="E372" s="640"/>
      <c r="F372" s="640"/>
      <c r="G372" s="640"/>
      <c r="H372" s="640"/>
      <c r="I372" s="640"/>
      <c r="J372" s="640"/>
      <c r="K372" s="640"/>
      <c r="L372" s="641"/>
      <c r="M372" s="38"/>
      <c r="Q372" s="10"/>
    </row>
    <row r="373" spans="1:21" s="11" customFormat="1" x14ac:dyDescent="0.3">
      <c r="A373" s="8"/>
      <c r="B373" s="639"/>
      <c r="C373" s="640"/>
      <c r="D373" s="640"/>
      <c r="E373" s="640"/>
      <c r="F373" s="640"/>
      <c r="G373" s="640"/>
      <c r="H373" s="640"/>
      <c r="I373" s="640"/>
      <c r="J373" s="640"/>
      <c r="K373" s="640"/>
      <c r="L373" s="641"/>
      <c r="M373" s="38"/>
      <c r="Q373" s="10"/>
    </row>
    <row r="374" spans="1:21" s="11" customFormat="1" x14ac:dyDescent="0.3">
      <c r="A374" s="8"/>
      <c r="B374" s="639"/>
      <c r="C374" s="640"/>
      <c r="D374" s="640"/>
      <c r="E374" s="640"/>
      <c r="F374" s="640"/>
      <c r="G374" s="640"/>
      <c r="H374" s="640"/>
      <c r="I374" s="640"/>
      <c r="J374" s="640"/>
      <c r="K374" s="640"/>
      <c r="L374" s="641"/>
      <c r="M374" s="38"/>
      <c r="Q374" s="10"/>
    </row>
    <row r="375" spans="1:21" s="11" customFormat="1" x14ac:dyDescent="0.3">
      <c r="A375" s="8"/>
      <c r="B375" s="639"/>
      <c r="C375" s="640"/>
      <c r="D375" s="640"/>
      <c r="E375" s="640"/>
      <c r="F375" s="640"/>
      <c r="G375" s="640"/>
      <c r="H375" s="640"/>
      <c r="I375" s="640"/>
      <c r="J375" s="640"/>
      <c r="K375" s="640"/>
      <c r="L375" s="641"/>
      <c r="M375" s="38"/>
      <c r="Q375" s="10"/>
    </row>
    <row r="376" spans="1:21" s="11" customFormat="1" x14ac:dyDescent="0.3">
      <c r="A376" s="8"/>
      <c r="B376" s="639"/>
      <c r="C376" s="640"/>
      <c r="D376" s="640"/>
      <c r="E376" s="640"/>
      <c r="F376" s="640"/>
      <c r="G376" s="640"/>
      <c r="H376" s="640"/>
      <c r="I376" s="640"/>
      <c r="J376" s="640"/>
      <c r="K376" s="640"/>
      <c r="L376" s="641"/>
      <c r="M376" s="38"/>
      <c r="Q376" s="10"/>
    </row>
    <row r="377" spans="1:21" s="11" customFormat="1" x14ac:dyDescent="0.3">
      <c r="A377" s="8"/>
      <c r="B377" s="639"/>
      <c r="C377" s="640"/>
      <c r="D377" s="640"/>
      <c r="E377" s="640"/>
      <c r="F377" s="640"/>
      <c r="G377" s="640"/>
      <c r="H377" s="640"/>
      <c r="I377" s="640"/>
      <c r="J377" s="640"/>
      <c r="K377" s="640"/>
      <c r="L377" s="641"/>
      <c r="M377" s="38"/>
      <c r="Q377" s="10"/>
    </row>
    <row r="378" spans="1:21" s="11" customFormat="1" x14ac:dyDescent="0.3">
      <c r="A378" s="8"/>
      <c r="B378" s="639"/>
      <c r="C378" s="640"/>
      <c r="D378" s="640"/>
      <c r="E378" s="640"/>
      <c r="F378" s="640"/>
      <c r="G378" s="640"/>
      <c r="H378" s="640"/>
      <c r="I378" s="640"/>
      <c r="J378" s="640"/>
      <c r="K378" s="640"/>
      <c r="L378" s="641"/>
      <c r="M378" s="38"/>
      <c r="Q378" s="10"/>
    </row>
    <row r="379" spans="1:21" s="38" customFormat="1" x14ac:dyDescent="0.3">
      <c r="A379" s="95"/>
      <c r="B379" s="50"/>
      <c r="C379" s="51"/>
      <c r="D379" s="51"/>
      <c r="E379" s="51"/>
      <c r="F379" s="51"/>
      <c r="G379" s="51"/>
      <c r="H379" s="51"/>
      <c r="I379" s="51"/>
      <c r="J379" s="51"/>
      <c r="K379" s="51"/>
      <c r="L379" s="52"/>
      <c r="O379" s="10"/>
      <c r="P379" s="10"/>
      <c r="Q379" s="10"/>
      <c r="R379" s="10"/>
      <c r="S379" s="10"/>
      <c r="T379" s="10"/>
      <c r="U379" s="10"/>
    </row>
    <row r="380" spans="1:21" x14ac:dyDescent="0.3">
      <c r="B380" s="670" t="s">
        <v>83</v>
      </c>
      <c r="C380" s="671"/>
      <c r="D380" s="671"/>
      <c r="E380" s="671"/>
      <c r="F380" s="672"/>
      <c r="G380" s="672"/>
      <c r="H380" s="672"/>
      <c r="I380" s="672"/>
      <c r="J380" s="672"/>
      <c r="K380" s="672"/>
      <c r="L380" s="673"/>
    </row>
    <row r="381" spans="1:21" x14ac:dyDescent="0.3">
      <c r="B381" s="56"/>
      <c r="C381" s="57"/>
      <c r="D381" s="57"/>
      <c r="E381" s="57"/>
      <c r="F381" s="40"/>
      <c r="G381" s="40"/>
      <c r="H381" s="40"/>
      <c r="I381" s="40"/>
      <c r="J381" s="40"/>
      <c r="K381" s="40"/>
      <c r="L381" s="58"/>
    </row>
    <row r="382" spans="1:21" x14ac:dyDescent="0.3">
      <c r="B382" s="500" t="str">
        <f>IF(Intro!$G$20="English",O382,P382)</f>
        <v>Explain any impacts on these outlooks should there be a finding of injury or threat of injury. Provide documents, or the names of documents, such as studies or articles in trade journals, that support your firm's statement.</v>
      </c>
      <c r="C382" s="501"/>
      <c r="D382" s="501"/>
      <c r="E382" s="501"/>
      <c r="F382" s="501"/>
      <c r="G382" s="501"/>
      <c r="H382" s="501"/>
      <c r="I382" s="501"/>
      <c r="J382" s="501"/>
      <c r="K382" s="501"/>
      <c r="L382" s="502"/>
      <c r="O382" s="55" t="s">
        <v>369</v>
      </c>
      <c r="P382" s="15" t="s">
        <v>370</v>
      </c>
      <c r="Q382" s="15"/>
    </row>
    <row r="383" spans="1:21" x14ac:dyDescent="0.3">
      <c r="B383" s="500"/>
      <c r="C383" s="501"/>
      <c r="D383" s="501"/>
      <c r="E383" s="501"/>
      <c r="F383" s="501"/>
      <c r="G383" s="501"/>
      <c r="H383" s="501"/>
      <c r="I383" s="501"/>
      <c r="J383" s="501"/>
      <c r="K383" s="501"/>
      <c r="L383" s="502"/>
      <c r="O383" s="55"/>
      <c r="P383" s="122"/>
      <c r="Q383" s="122"/>
    </row>
    <row r="384" spans="1:21" x14ac:dyDescent="0.3">
      <c r="B384" s="65"/>
      <c r="C384" s="68"/>
      <c r="D384" s="68"/>
      <c r="E384" s="68"/>
      <c r="F384" s="68"/>
      <c r="G384" s="68"/>
      <c r="H384" s="68"/>
      <c r="I384" s="68"/>
      <c r="J384" s="68"/>
      <c r="K384" s="68"/>
      <c r="L384" s="67"/>
      <c r="O384" s="59"/>
      <c r="P384" s="59"/>
      <c r="Q384" s="60"/>
    </row>
    <row r="385" spans="1:17" s="11" customFormat="1" x14ac:dyDescent="0.3">
      <c r="A385" s="8"/>
      <c r="B385" s="639"/>
      <c r="C385" s="640"/>
      <c r="D385" s="640"/>
      <c r="E385" s="640"/>
      <c r="F385" s="640"/>
      <c r="G385" s="640"/>
      <c r="H385" s="640"/>
      <c r="I385" s="640"/>
      <c r="J385" s="640"/>
      <c r="K385" s="640"/>
      <c r="L385" s="641"/>
      <c r="M385" s="38"/>
      <c r="Q385" s="10"/>
    </row>
    <row r="386" spans="1:17" s="11" customFormat="1" x14ac:dyDescent="0.3">
      <c r="A386" s="8"/>
      <c r="B386" s="639"/>
      <c r="C386" s="640"/>
      <c r="D386" s="640"/>
      <c r="E386" s="640"/>
      <c r="F386" s="640"/>
      <c r="G386" s="640"/>
      <c r="H386" s="640"/>
      <c r="I386" s="640"/>
      <c r="J386" s="640"/>
      <c r="K386" s="640"/>
      <c r="L386" s="641"/>
      <c r="M386" s="38"/>
      <c r="Q386" s="10"/>
    </row>
    <row r="387" spans="1:17" s="11" customFormat="1" x14ac:dyDescent="0.3">
      <c r="A387" s="8"/>
      <c r="B387" s="639"/>
      <c r="C387" s="640"/>
      <c r="D387" s="640"/>
      <c r="E387" s="640"/>
      <c r="F387" s="640"/>
      <c r="G387" s="640"/>
      <c r="H387" s="640"/>
      <c r="I387" s="640"/>
      <c r="J387" s="640"/>
      <c r="K387" s="640"/>
      <c r="L387" s="641"/>
      <c r="M387" s="38"/>
      <c r="Q387" s="10"/>
    </row>
    <row r="388" spans="1:17" s="11" customFormat="1" x14ac:dyDescent="0.3">
      <c r="A388" s="8"/>
      <c r="B388" s="639"/>
      <c r="C388" s="640"/>
      <c r="D388" s="640"/>
      <c r="E388" s="640"/>
      <c r="F388" s="640"/>
      <c r="G388" s="640"/>
      <c r="H388" s="640"/>
      <c r="I388" s="640"/>
      <c r="J388" s="640"/>
      <c r="K388" s="640"/>
      <c r="L388" s="641"/>
      <c r="M388" s="38"/>
      <c r="Q388" s="10"/>
    </row>
    <row r="389" spans="1:17" s="11" customFormat="1" x14ac:dyDescent="0.3">
      <c r="A389" s="8"/>
      <c r="B389" s="639"/>
      <c r="C389" s="640"/>
      <c r="D389" s="640"/>
      <c r="E389" s="640"/>
      <c r="F389" s="640"/>
      <c r="G389" s="640"/>
      <c r="H389" s="640"/>
      <c r="I389" s="640"/>
      <c r="J389" s="640"/>
      <c r="K389" s="640"/>
      <c r="L389" s="641"/>
      <c r="M389" s="38"/>
      <c r="Q389" s="10"/>
    </row>
    <row r="390" spans="1:17" s="11" customFormat="1" x14ac:dyDescent="0.3">
      <c r="A390" s="8"/>
      <c r="B390" s="639"/>
      <c r="C390" s="640"/>
      <c r="D390" s="640"/>
      <c r="E390" s="640"/>
      <c r="F390" s="640"/>
      <c r="G390" s="640"/>
      <c r="H390" s="640"/>
      <c r="I390" s="640"/>
      <c r="J390" s="640"/>
      <c r="K390" s="640"/>
      <c r="L390" s="641"/>
      <c r="M390" s="38"/>
      <c r="Q390" s="10"/>
    </row>
    <row r="391" spans="1:17" s="11" customFormat="1" x14ac:dyDescent="0.3">
      <c r="A391" s="8"/>
      <c r="B391" s="639"/>
      <c r="C391" s="640"/>
      <c r="D391" s="640"/>
      <c r="E391" s="640"/>
      <c r="F391" s="640"/>
      <c r="G391" s="640"/>
      <c r="H391" s="640"/>
      <c r="I391" s="640"/>
      <c r="J391" s="640"/>
      <c r="K391" s="640"/>
      <c r="L391" s="641"/>
      <c r="M391" s="38"/>
      <c r="Q391" s="10"/>
    </row>
    <row r="392" spans="1:17" s="11" customFormat="1" x14ac:dyDescent="0.3">
      <c r="A392" s="8"/>
      <c r="B392" s="639"/>
      <c r="C392" s="640"/>
      <c r="D392" s="640"/>
      <c r="E392" s="640"/>
      <c r="F392" s="640"/>
      <c r="G392" s="640"/>
      <c r="H392" s="640"/>
      <c r="I392" s="640"/>
      <c r="J392" s="640"/>
      <c r="K392" s="640"/>
      <c r="L392" s="641"/>
      <c r="M392" s="38"/>
      <c r="Q392" s="10"/>
    </row>
    <row r="393" spans="1:17" x14ac:dyDescent="0.3">
      <c r="B393" s="653"/>
      <c r="C393" s="654"/>
      <c r="D393" s="654"/>
      <c r="E393" s="654"/>
      <c r="F393" s="654"/>
      <c r="G393" s="654"/>
      <c r="H393" s="654"/>
      <c r="I393" s="654"/>
      <c r="J393" s="654"/>
      <c r="K393" s="654"/>
      <c r="L393" s="655"/>
    </row>
  </sheetData>
  <sheetProtection algorithmName="SHA-512" hashValue="ANDFS8vpQAi19idDbh29VFvUph5Ngc3Uso363OqqcsO4P/L+oAABRjCB3Fph/4JWXo4PrIIhJrlOkrmlvm9jdA==" saltValue="5gk9PTh4YuHOx7jnesaafQ==" spinCount="100000" sheet="1" objects="1" scenarios="1" selectLockedCells="1"/>
  <mergeCells count="162">
    <mergeCell ref="J45:L46"/>
    <mergeCell ref="J43:L44"/>
    <mergeCell ref="B39:L41"/>
    <mergeCell ref="B19:J20"/>
    <mergeCell ref="K19:K20"/>
    <mergeCell ref="B322:G322"/>
    <mergeCell ref="B380:L380"/>
    <mergeCell ref="B196:L196"/>
    <mergeCell ref="B207:L207"/>
    <mergeCell ref="E47:F48"/>
    <mergeCell ref="G47:I48"/>
    <mergeCell ref="J47:L48"/>
    <mergeCell ref="C53:D54"/>
    <mergeCell ref="E53:F54"/>
    <mergeCell ref="G53:I54"/>
    <mergeCell ref="J53:L54"/>
    <mergeCell ref="B55:B56"/>
    <mergeCell ref="C55:D56"/>
    <mergeCell ref="E55:F56"/>
    <mergeCell ref="G55:I56"/>
    <mergeCell ref="J55:L56"/>
    <mergeCell ref="D150:L154"/>
    <mergeCell ref="B155:C159"/>
    <mergeCell ref="D155:L159"/>
    <mergeCell ref="B13:L13"/>
    <mergeCell ref="B24:L24"/>
    <mergeCell ref="B37:L37"/>
    <mergeCell ref="B66:L66"/>
    <mergeCell ref="B81:L81"/>
    <mergeCell ref="B95:L95"/>
    <mergeCell ref="B111:L111"/>
    <mergeCell ref="B124:L124"/>
    <mergeCell ref="B145:L145"/>
    <mergeCell ref="G59:I60"/>
    <mergeCell ref="J59:L60"/>
    <mergeCell ref="C43:D44"/>
    <mergeCell ref="E43:F44"/>
    <mergeCell ref="G43:I44"/>
    <mergeCell ref="B51:B52"/>
    <mergeCell ref="C51:D52"/>
    <mergeCell ref="E51:F52"/>
    <mergeCell ref="G51:I52"/>
    <mergeCell ref="J51:L52"/>
    <mergeCell ref="G45:I46"/>
    <mergeCell ref="G49:I50"/>
    <mergeCell ref="J49:L50"/>
    <mergeCell ref="B47:B48"/>
    <mergeCell ref="C47:D48"/>
    <mergeCell ref="E57:F58"/>
    <mergeCell ref="G57:I58"/>
    <mergeCell ref="J57:L58"/>
    <mergeCell ref="B59:B60"/>
    <mergeCell ref="C59:D60"/>
    <mergeCell ref="E59:F60"/>
    <mergeCell ref="B385:L392"/>
    <mergeCell ref="B61:B62"/>
    <mergeCell ref="C61:D62"/>
    <mergeCell ref="E61:F62"/>
    <mergeCell ref="G61:I62"/>
    <mergeCell ref="J61:L62"/>
    <mergeCell ref="B63:B64"/>
    <mergeCell ref="C63:D64"/>
    <mergeCell ref="E63:F64"/>
    <mergeCell ref="B166:L166"/>
    <mergeCell ref="B194:L194"/>
    <mergeCell ref="B180:L180"/>
    <mergeCell ref="B57:B58"/>
    <mergeCell ref="B110:L110"/>
    <mergeCell ref="G63:I64"/>
    <mergeCell ref="B150:C154"/>
    <mergeCell ref="B70:L77"/>
    <mergeCell ref="B86:L93"/>
    <mergeCell ref="B100:L107"/>
    <mergeCell ref="B115:L122"/>
    <mergeCell ref="B134:L141"/>
    <mergeCell ref="B83:L84"/>
    <mergeCell ref="B113:L113"/>
    <mergeCell ref="B382:L383"/>
    <mergeCell ref="B393:L393"/>
    <mergeCell ref="B213:L220"/>
    <mergeCell ref="B226:L233"/>
    <mergeCell ref="B239:L246"/>
    <mergeCell ref="B253:L260"/>
    <mergeCell ref="B268:L275"/>
    <mergeCell ref="B281:L288"/>
    <mergeCell ref="B222:L222"/>
    <mergeCell ref="B129:G129"/>
    <mergeCell ref="B128:G128"/>
    <mergeCell ref="B130:G130"/>
    <mergeCell ref="B357:L364"/>
    <mergeCell ref="B295:L302"/>
    <mergeCell ref="B309:L316"/>
    <mergeCell ref="B328:L335"/>
    <mergeCell ref="B323:G323"/>
    <mergeCell ref="B324:G324"/>
    <mergeCell ref="B366:L366"/>
    <mergeCell ref="B339:L339"/>
    <mergeCell ref="D160:L164"/>
    <mergeCell ref="B168:L169"/>
    <mergeCell ref="B182:L183"/>
    <mergeCell ref="B209:L209"/>
    <mergeCell ref="B277:L277"/>
    <mergeCell ref="B290:L290"/>
    <mergeCell ref="B304:L304"/>
    <mergeCell ref="B318:L318"/>
    <mergeCell ref="B235:L235"/>
    <mergeCell ref="B248:L248"/>
    <mergeCell ref="B171:L178"/>
    <mergeCell ref="B224:L224"/>
    <mergeCell ref="B237:L237"/>
    <mergeCell ref="B211:C211"/>
    <mergeCell ref="B160:C164"/>
    <mergeCell ref="B185:L192"/>
    <mergeCell ref="B198:L205"/>
    <mergeCell ref="C57:D58"/>
    <mergeCell ref="J63:L64"/>
    <mergeCell ref="B45:B46"/>
    <mergeCell ref="C45:D46"/>
    <mergeCell ref="E45:F46"/>
    <mergeCell ref="C49:D50"/>
    <mergeCell ref="E49:F50"/>
    <mergeCell ref="B15:L15"/>
    <mergeCell ref="B371:L378"/>
    <mergeCell ref="B368:L369"/>
    <mergeCell ref="B341:L348"/>
    <mergeCell ref="B250:L251"/>
    <mergeCell ref="B279:L279"/>
    <mergeCell ref="B292:L293"/>
    <mergeCell ref="B306:L307"/>
    <mergeCell ref="B266:L266"/>
    <mergeCell ref="B320:L320"/>
    <mergeCell ref="B354:L355"/>
    <mergeCell ref="B326:L326"/>
    <mergeCell ref="B264:L264"/>
    <mergeCell ref="B337:L337"/>
    <mergeCell ref="B352:L352"/>
    <mergeCell ref="B263:L263"/>
    <mergeCell ref="B351:L351"/>
    <mergeCell ref="B148:L148"/>
    <mergeCell ref="B17:J17"/>
    <mergeCell ref="B18:J18"/>
    <mergeCell ref="B21:J22"/>
    <mergeCell ref="K21:K22"/>
    <mergeCell ref="B4:L4"/>
    <mergeCell ref="B5:L5"/>
    <mergeCell ref="B6:L6"/>
    <mergeCell ref="B147:L147"/>
    <mergeCell ref="B68:L68"/>
    <mergeCell ref="B8:L8"/>
    <mergeCell ref="B9:L9"/>
    <mergeCell ref="B10:L10"/>
    <mergeCell ref="B26:L26"/>
    <mergeCell ref="B12:L12"/>
    <mergeCell ref="B28:L35"/>
    <mergeCell ref="B126:L126"/>
    <mergeCell ref="B132:L132"/>
    <mergeCell ref="B97:L98"/>
    <mergeCell ref="B53:B54"/>
    <mergeCell ref="B43:B44"/>
    <mergeCell ref="B49:B50"/>
    <mergeCell ref="B80:L80"/>
    <mergeCell ref="B144:L144"/>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3:B174 B385 B28 B70:B72 B103:B104 B100 B115 B134 B171 B185 B198 B213 B226 B239 B253 B268 B281 B295 B309 B328 B341 B357 B371 B187:B188 B200:B201 B215:B216 B228:B229 B242:B243 B256:B257 B271:B272 B284:B285 B298:B299 B311:B312 B331:B332 B344:B345 B360:B361 B374:B375 B388:B389 B117:B118 B137:B138 B86:B88"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1" xr:uid="{6FC76BB9-7D2B-4EF9-A9AF-552B723B2C27}">
      <formula1>0</formula1>
    </dataValidation>
    <dataValidation type="list" allowBlank="1" showInputMessage="1" showErrorMessage="1" sqref="H322:H324 H128:H130 K17:K22"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8" min="1" max="11" man="1"/>
    <brk id="142" min="1" max="11" man="1"/>
    <brk id="206" min="1" max="11" man="1"/>
    <brk id="261" min="1" max="11" man="1"/>
    <brk id="317" min="1" max="11" man="1"/>
    <brk id="379"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87A5-7136-4DEC-BB4C-F0A7015C4764}">
  <sheetPr>
    <tabColor rgb="FF00B0F0"/>
    <pageSetUpPr fitToPage="1"/>
  </sheetPr>
  <dimension ref="A1:FM42"/>
  <sheetViews>
    <sheetView topLeftCell="A18" workbookViewId="0"/>
  </sheetViews>
  <sheetFormatPr defaultColWidth="8.5546875" defaultRowHeight="14.4" x14ac:dyDescent="0.3"/>
  <cols>
    <col min="1" max="1" width="2.44140625" style="171" customWidth="1"/>
    <col min="2" max="12" width="14.5546875" style="170" customWidth="1"/>
    <col min="13" max="13" width="9" style="166" customWidth="1"/>
    <col min="14" max="14" width="8" style="169" customWidth="1"/>
    <col min="15" max="15" width="32.44140625" style="168" customWidth="1"/>
    <col min="16" max="16" width="26.5546875" style="2" customWidth="1"/>
    <col min="17" max="17" width="8.44140625" style="2" customWidth="1"/>
    <col min="18" max="18" width="8.5546875" style="167" customWidth="1"/>
    <col min="19" max="21" width="8.5546875" style="166" customWidth="1"/>
    <col min="22" max="169" width="8.5546875" style="166"/>
    <col min="170" max="16384" width="8.5546875" style="3"/>
  </cols>
  <sheetData>
    <row r="1" spans="1:169" s="198" customFormat="1" x14ac:dyDescent="0.3">
      <c r="A1" s="203" t="s">
        <v>479</v>
      </c>
      <c r="B1" s="189"/>
      <c r="C1" s="189"/>
      <c r="N1" s="206"/>
      <c r="O1" s="10" t="s">
        <v>481</v>
      </c>
      <c r="P1" s="10" t="s">
        <v>481</v>
      </c>
      <c r="Q1" s="2"/>
      <c r="R1" s="2"/>
    </row>
    <row r="2" spans="1:169" s="198" customFormat="1" x14ac:dyDescent="0.3">
      <c r="A2" s="203"/>
      <c r="B2" s="189" t="s">
        <v>66</v>
      </c>
      <c r="C2" s="189"/>
      <c r="N2" s="206"/>
      <c r="O2" s="197" t="s">
        <v>93</v>
      </c>
      <c r="P2" s="197" t="s">
        <v>109</v>
      </c>
      <c r="Q2" s="2"/>
      <c r="R2" s="2"/>
    </row>
    <row r="3" spans="1:169" s="198" customFormat="1" x14ac:dyDescent="0.3">
      <c r="A3" s="203"/>
      <c r="B3" s="189"/>
      <c r="C3" s="189"/>
      <c r="N3" s="206"/>
      <c r="O3" s="205"/>
      <c r="P3" s="2"/>
      <c r="Q3" s="2"/>
      <c r="R3" s="2"/>
    </row>
    <row r="4" spans="1:169" s="198" customFormat="1" x14ac:dyDescent="0.3">
      <c r="A4" s="203" t="s">
        <v>479</v>
      </c>
      <c r="B4" s="588" t="str">
        <f>Info!B4</f>
        <v>IMPORTERS' QUESTIONNAIRE</v>
      </c>
      <c r="C4" s="589"/>
      <c r="D4" s="589"/>
      <c r="E4" s="589"/>
      <c r="F4" s="589"/>
      <c r="G4" s="589"/>
      <c r="H4" s="589"/>
      <c r="I4" s="589"/>
      <c r="J4" s="589"/>
      <c r="K4" s="589"/>
      <c r="L4" s="590"/>
      <c r="M4" s="199"/>
      <c r="N4" s="5"/>
      <c r="O4" s="5"/>
      <c r="P4" s="2"/>
      <c r="Q4" s="204"/>
      <c r="R4" s="2"/>
    </row>
    <row r="5" spans="1:169" s="198" customFormat="1" x14ac:dyDescent="0.3">
      <c r="A5" s="203" t="s">
        <v>479</v>
      </c>
      <c r="B5" s="630" t="str">
        <f>Info!B5</f>
        <v>NQ-2026-002</v>
      </c>
      <c r="C5" s="674"/>
      <c r="D5" s="674"/>
      <c r="E5" s="674"/>
      <c r="F5" s="674"/>
      <c r="G5" s="674"/>
      <c r="H5" s="674"/>
      <c r="I5" s="674"/>
      <c r="J5" s="674"/>
      <c r="K5" s="674"/>
      <c r="L5" s="632"/>
      <c r="M5" s="199"/>
      <c r="N5" s="5"/>
      <c r="O5" s="5"/>
      <c r="P5" s="204"/>
      <c r="Q5" s="204"/>
      <c r="R5" s="2"/>
    </row>
    <row r="6" spans="1:169" s="198" customFormat="1" x14ac:dyDescent="0.3">
      <c r="A6" s="203" t="s">
        <v>479</v>
      </c>
      <c r="B6" s="630" t="str">
        <f>Info!B6</f>
        <v>FORGED GRINDING MEDIA</v>
      </c>
      <c r="C6" s="674"/>
      <c r="D6" s="674"/>
      <c r="E6" s="674"/>
      <c r="F6" s="674"/>
      <c r="G6" s="674"/>
      <c r="H6" s="674"/>
      <c r="I6" s="674"/>
      <c r="J6" s="674"/>
      <c r="K6" s="674"/>
      <c r="L6" s="632"/>
      <c r="M6" s="199"/>
      <c r="N6" s="19"/>
      <c r="O6" s="19"/>
      <c r="P6" s="179"/>
      <c r="Q6" s="179"/>
      <c r="R6" s="2"/>
    </row>
    <row r="7" spans="1:169" s="198" customFormat="1" x14ac:dyDescent="0.3">
      <c r="A7" s="203"/>
      <c r="B7" s="202"/>
      <c r="C7" s="201"/>
      <c r="D7" s="201"/>
      <c r="E7" s="201"/>
      <c r="F7" s="201"/>
      <c r="G7" s="201"/>
      <c r="H7" s="201"/>
      <c r="I7" s="201"/>
      <c r="J7" s="201"/>
      <c r="K7" s="201"/>
      <c r="L7" s="200"/>
      <c r="M7" s="199"/>
      <c r="N7" s="19"/>
      <c r="O7" s="19"/>
      <c r="P7" s="179"/>
      <c r="Q7" s="179"/>
      <c r="R7" s="2"/>
    </row>
    <row r="8" spans="1:169" x14ac:dyDescent="0.3">
      <c r="A8" s="181"/>
      <c r="B8" s="684" t="str">
        <f>Public!B8</f>
        <v>The following questions refer to the goods as defined in the product description on the Intro tab.</v>
      </c>
      <c r="C8" s="685"/>
      <c r="D8" s="686"/>
      <c r="E8" s="686"/>
      <c r="F8" s="686"/>
      <c r="G8" s="686"/>
      <c r="H8" s="686"/>
      <c r="I8" s="686"/>
      <c r="J8" s="686"/>
      <c r="K8" s="686"/>
      <c r="L8" s="687"/>
      <c r="M8" s="194"/>
      <c r="P8" s="179"/>
      <c r="Q8" s="179"/>
    </row>
    <row r="9" spans="1:169" x14ac:dyDescent="0.3">
      <c r="A9" s="181"/>
      <c r="B9" s="684" t="str">
        <f>Public!B9</f>
        <v xml:space="preserve">Product information and a glossary of terms can be found in the Info tab.
</v>
      </c>
      <c r="C9" s="685"/>
      <c r="D9" s="686"/>
      <c r="E9" s="686"/>
      <c r="F9" s="686"/>
      <c r="G9" s="686"/>
      <c r="H9" s="686"/>
      <c r="I9" s="686"/>
      <c r="J9" s="686"/>
      <c r="K9" s="686"/>
      <c r="L9" s="687"/>
      <c r="M9" s="194"/>
      <c r="P9" s="179"/>
      <c r="Q9" s="179"/>
    </row>
    <row r="10" spans="1:169" s="166" customFormat="1" x14ac:dyDescent="0.3">
      <c r="A10" s="181"/>
      <c r="B10" s="196"/>
      <c r="C10" s="194"/>
      <c r="D10" s="1"/>
      <c r="E10" s="1"/>
      <c r="F10" s="1"/>
      <c r="G10" s="1"/>
      <c r="H10" s="1"/>
      <c r="I10" s="1"/>
      <c r="J10" s="1"/>
      <c r="K10" s="1"/>
      <c r="L10" s="195"/>
      <c r="M10" s="194"/>
      <c r="N10" s="169"/>
      <c r="O10" s="168"/>
      <c r="P10" s="179"/>
      <c r="Q10" s="179"/>
      <c r="R10" s="179"/>
    </row>
    <row r="11" spans="1:169" s="186" customFormat="1" x14ac:dyDescent="0.3">
      <c r="A11" s="193" t="s">
        <v>479</v>
      </c>
      <c r="B11" s="548" t="s">
        <v>480</v>
      </c>
      <c r="C11" s="681"/>
      <c r="D11" s="682"/>
      <c r="E11" s="682"/>
      <c r="F11" s="682"/>
      <c r="G11" s="682"/>
      <c r="H11" s="682"/>
      <c r="I11" s="682"/>
      <c r="J11" s="682"/>
      <c r="K11" s="682"/>
      <c r="L11" s="683"/>
      <c r="M11" s="192"/>
      <c r="N11" s="191"/>
      <c r="O11" s="190"/>
      <c r="P11" s="189"/>
      <c r="Q11" s="189"/>
      <c r="R11" s="188"/>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87"/>
      <c r="DX11" s="187"/>
      <c r="DY11" s="187"/>
      <c r="DZ11" s="187"/>
      <c r="EA11" s="187"/>
      <c r="EB11" s="187"/>
      <c r="EC11" s="187"/>
      <c r="ED11" s="187"/>
      <c r="EE11" s="187"/>
      <c r="EF11" s="187"/>
      <c r="EG11" s="187"/>
      <c r="EH11" s="187"/>
      <c r="EI11" s="187"/>
      <c r="EJ11" s="187"/>
      <c r="EK11" s="187"/>
      <c r="EL11" s="187"/>
      <c r="EM11" s="187"/>
      <c r="EN11" s="187"/>
      <c r="EO11" s="187"/>
      <c r="EP11" s="187"/>
      <c r="EQ11" s="187"/>
      <c r="ER11" s="187"/>
      <c r="ES11" s="187"/>
      <c r="ET11" s="187"/>
      <c r="EU11" s="187"/>
      <c r="EV11" s="187"/>
      <c r="EW11" s="187"/>
      <c r="EX11" s="187"/>
      <c r="EY11" s="187"/>
      <c r="EZ11" s="187"/>
      <c r="FA11" s="187"/>
      <c r="FB11" s="187"/>
      <c r="FC11" s="187"/>
      <c r="FD11" s="187"/>
      <c r="FE11" s="187"/>
      <c r="FF11" s="187"/>
      <c r="FG11" s="187"/>
      <c r="FH11" s="187"/>
      <c r="FI11" s="187"/>
      <c r="FJ11" s="187"/>
      <c r="FK11" s="187"/>
      <c r="FL11" s="187"/>
      <c r="FM11" s="187"/>
    </row>
    <row r="12" spans="1:169" s="182" customFormat="1" x14ac:dyDescent="0.3">
      <c r="A12" s="181" t="s">
        <v>479</v>
      </c>
      <c r="B12" s="688" t="s">
        <v>12</v>
      </c>
      <c r="C12" s="689"/>
      <c r="D12" s="690"/>
      <c r="E12" s="690"/>
      <c r="F12" s="690"/>
      <c r="G12" s="690"/>
      <c r="H12" s="690"/>
      <c r="I12" s="690"/>
      <c r="J12" s="690"/>
      <c r="K12" s="690"/>
      <c r="L12" s="691"/>
      <c r="M12" s="1"/>
      <c r="N12" s="180"/>
      <c r="O12" s="185"/>
      <c r="P12" s="184"/>
      <c r="Q12" s="184"/>
      <c r="R12" s="183"/>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77"/>
      <c r="EN12" s="177"/>
      <c r="EO12" s="177"/>
      <c r="EP12" s="177"/>
      <c r="EQ12" s="177"/>
      <c r="ER12" s="177"/>
      <c r="ES12" s="177"/>
      <c r="ET12" s="177"/>
      <c r="EU12" s="177"/>
      <c r="EV12" s="177"/>
      <c r="EW12" s="177"/>
      <c r="EX12" s="177"/>
      <c r="EY12" s="177"/>
      <c r="EZ12" s="177"/>
      <c r="FA12" s="177"/>
      <c r="FB12" s="177"/>
      <c r="FC12" s="177"/>
      <c r="FD12" s="177"/>
      <c r="FE12" s="177"/>
      <c r="FF12" s="177"/>
      <c r="FG12" s="177"/>
      <c r="FH12" s="177"/>
      <c r="FI12" s="177"/>
      <c r="FJ12" s="177"/>
      <c r="FK12" s="177"/>
      <c r="FL12" s="177"/>
      <c r="FM12" s="177"/>
    </row>
    <row r="13" spans="1:169" s="177" customFormat="1" x14ac:dyDescent="0.3">
      <c r="A13" s="181"/>
      <c r="B13" s="692" t="str">
        <f>IF(Intro!$G$20="English",O13,P13)</f>
        <v>Provide the grades imported by your firm between January 1, 2023 and March 31, 2026.</v>
      </c>
      <c r="C13" s="693"/>
      <c r="D13" s="694"/>
      <c r="E13" s="694"/>
      <c r="F13" s="694"/>
      <c r="G13" s="694"/>
      <c r="H13" s="694"/>
      <c r="I13" s="694"/>
      <c r="J13" s="694"/>
      <c r="K13" s="694"/>
      <c r="L13" s="695"/>
      <c r="M13" s="31"/>
      <c r="N13" s="180"/>
      <c r="O13" s="179" t="str">
        <f>"Provide the grades imported by your firm between January 1, "&amp;Variables!B6&amp;" and "&amp;Variables!B7&amp;", "&amp;Variables!B8&amp;"."</f>
        <v>Provide the grades imported by your firm between January 1, 2023 and March 31, 2026.</v>
      </c>
      <c r="P13" s="178" t="str">
        <f>"Indiquez les nuances importée au pays par votre entreprise du 1er janvier "&amp;Variables!C6&amp;" au "&amp;Variables!C7&amp;" "&amp;Variables!C8&amp;"."</f>
        <v>Indiquez les nuances importée au pays par votre entreprise du 1er janvier 2023 au 31 mars 2026.</v>
      </c>
      <c r="R13" s="178"/>
      <c r="S13" s="178"/>
      <c r="T13" s="178"/>
      <c r="U13" s="178"/>
    </row>
    <row r="14" spans="1:169" x14ac:dyDescent="0.3">
      <c r="A14" s="171" t="s">
        <v>479</v>
      </c>
      <c r="B14" s="696"/>
      <c r="C14" s="697"/>
      <c r="D14" s="694"/>
      <c r="E14" s="694"/>
      <c r="F14" s="694"/>
      <c r="G14" s="694"/>
      <c r="H14" s="694"/>
      <c r="I14" s="694"/>
      <c r="J14" s="694"/>
      <c r="K14" s="694"/>
      <c r="L14" s="695"/>
      <c r="M14" s="40"/>
      <c r="O14" s="2"/>
      <c r="Q14" s="166"/>
    </row>
    <row r="15" spans="1:169" x14ac:dyDescent="0.3">
      <c r="B15" s="698" t="str">
        <f>IF(Intro!$G$20="English",O15,P15)</f>
        <v>Steel Grade</v>
      </c>
      <c r="C15" s="699"/>
      <c r="D15" s="677" t="str">
        <f>IF(Intro!$G$20="English",O16,P16)</f>
        <v>Finish (ie. Bare or Coated)</v>
      </c>
      <c r="E15" s="677" t="str">
        <f>IF(Intro!$G$20="English",O17,P17)</f>
        <v>Country of Origin</v>
      </c>
      <c r="F15" s="677" t="str">
        <f>IF(Intro!$G$20="English",O18,P18)</f>
        <v>Sold in Canada or exported</v>
      </c>
      <c r="G15" s="679" t="str">
        <f>IF(Intro!$G$20="English", O19,P19)</f>
        <v>Outside Diameter (mm)</v>
      </c>
      <c r="H15" s="679"/>
      <c r="I15" s="679" t="str">
        <f>IF(Intro!$G$20="English", O20,P20)</f>
        <v>Wall Thickness (mm)</v>
      </c>
      <c r="J15" s="679"/>
      <c r="K15" s="679" t="str">
        <f>IF(Intro!$G$20="English", O21,P21)</f>
        <v>Length (m)</v>
      </c>
      <c r="L15" s="680"/>
      <c r="O15" s="2" t="s">
        <v>478</v>
      </c>
      <c r="P15" s="2" t="s">
        <v>477</v>
      </c>
      <c r="Q15" s="166"/>
    </row>
    <row r="16" spans="1:169" x14ac:dyDescent="0.3">
      <c r="B16" s="700"/>
      <c r="C16" s="701"/>
      <c r="D16" s="678"/>
      <c r="E16" s="678"/>
      <c r="F16" s="678"/>
      <c r="G16" s="679"/>
      <c r="H16" s="679"/>
      <c r="I16" s="679"/>
      <c r="J16" s="679"/>
      <c r="K16" s="679"/>
      <c r="L16" s="680"/>
      <c r="O16" s="2" t="s">
        <v>476</v>
      </c>
      <c r="P16" s="2" t="s">
        <v>475</v>
      </c>
      <c r="Q16" s="166"/>
    </row>
    <row r="17" spans="2:17" x14ac:dyDescent="0.3">
      <c r="B17" s="700"/>
      <c r="C17" s="701"/>
      <c r="D17" s="678"/>
      <c r="E17" s="678"/>
      <c r="F17" s="678"/>
      <c r="G17" s="176" t="s">
        <v>474</v>
      </c>
      <c r="H17" s="176" t="s">
        <v>473</v>
      </c>
      <c r="I17" s="176" t="s">
        <v>474</v>
      </c>
      <c r="J17" s="176" t="s">
        <v>473</v>
      </c>
      <c r="K17" s="176" t="s">
        <v>474</v>
      </c>
      <c r="L17" s="175" t="s">
        <v>473</v>
      </c>
      <c r="O17" s="2" t="s">
        <v>472</v>
      </c>
      <c r="P17" s="2" t="s">
        <v>471</v>
      </c>
      <c r="Q17" s="166"/>
    </row>
    <row r="18" spans="2:17" ht="42.75" customHeight="1" x14ac:dyDescent="0.3">
      <c r="B18" s="675"/>
      <c r="C18" s="676"/>
      <c r="D18" s="174"/>
      <c r="E18" s="173"/>
      <c r="F18" s="174"/>
      <c r="G18" s="173"/>
      <c r="H18" s="173"/>
      <c r="I18" s="173"/>
      <c r="J18" s="173"/>
      <c r="K18" s="173"/>
      <c r="L18" s="172"/>
      <c r="O18" s="2" t="s">
        <v>470</v>
      </c>
      <c r="P18" s="2" t="s">
        <v>469</v>
      </c>
      <c r="Q18" s="166"/>
    </row>
    <row r="19" spans="2:17" ht="42.75" customHeight="1" x14ac:dyDescent="0.3">
      <c r="B19" s="675"/>
      <c r="C19" s="676"/>
      <c r="D19" s="174"/>
      <c r="E19" s="173"/>
      <c r="F19" s="174"/>
      <c r="G19" s="173"/>
      <c r="H19" s="173"/>
      <c r="I19" s="173"/>
      <c r="J19" s="173"/>
      <c r="K19" s="173"/>
      <c r="L19" s="172"/>
      <c r="O19" s="2" t="s">
        <v>468</v>
      </c>
      <c r="P19" s="2" t="s">
        <v>467</v>
      </c>
      <c r="Q19" s="166"/>
    </row>
    <row r="20" spans="2:17" ht="42.75" customHeight="1" x14ac:dyDescent="0.3">
      <c r="B20" s="675"/>
      <c r="C20" s="676"/>
      <c r="D20" s="174"/>
      <c r="E20" s="173"/>
      <c r="F20" s="174"/>
      <c r="G20" s="173"/>
      <c r="H20" s="173"/>
      <c r="I20" s="173"/>
      <c r="J20" s="173"/>
      <c r="K20" s="173"/>
      <c r="L20" s="172"/>
      <c r="O20" s="2" t="s">
        <v>466</v>
      </c>
      <c r="P20" s="2" t="s">
        <v>465</v>
      </c>
      <c r="Q20" s="166"/>
    </row>
    <row r="21" spans="2:17" ht="42.75" customHeight="1" x14ac:dyDescent="0.3">
      <c r="B21" s="675"/>
      <c r="C21" s="676"/>
      <c r="D21" s="174"/>
      <c r="E21" s="173"/>
      <c r="F21" s="174"/>
      <c r="G21" s="173"/>
      <c r="H21" s="173"/>
      <c r="I21" s="173"/>
      <c r="J21" s="173"/>
      <c r="K21" s="173"/>
      <c r="L21" s="172"/>
      <c r="O21" s="2" t="s">
        <v>464</v>
      </c>
      <c r="P21" s="2" t="s">
        <v>463</v>
      </c>
      <c r="Q21" s="166"/>
    </row>
    <row r="22" spans="2:17" ht="42.75" customHeight="1" x14ac:dyDescent="0.3">
      <c r="B22" s="675"/>
      <c r="C22" s="676"/>
      <c r="D22" s="174"/>
      <c r="E22" s="173"/>
      <c r="F22" s="174"/>
      <c r="G22" s="173"/>
      <c r="H22" s="173"/>
      <c r="I22" s="173"/>
      <c r="J22" s="173"/>
      <c r="K22" s="173"/>
      <c r="L22" s="172"/>
      <c r="P22" s="166"/>
      <c r="Q22" s="166"/>
    </row>
    <row r="23" spans="2:17" ht="42.75" customHeight="1" x14ac:dyDescent="0.3">
      <c r="B23" s="675"/>
      <c r="C23" s="676"/>
      <c r="D23" s="174"/>
      <c r="E23" s="173"/>
      <c r="F23" s="174"/>
      <c r="G23" s="173"/>
      <c r="H23" s="173"/>
      <c r="I23" s="173"/>
      <c r="J23" s="173"/>
      <c r="K23" s="173"/>
      <c r="L23" s="172"/>
      <c r="P23" s="166"/>
      <c r="Q23" s="166"/>
    </row>
    <row r="24" spans="2:17" ht="42.75" customHeight="1" x14ac:dyDescent="0.3">
      <c r="B24" s="675"/>
      <c r="C24" s="676"/>
      <c r="D24" s="174"/>
      <c r="E24" s="173"/>
      <c r="F24" s="174"/>
      <c r="G24" s="173"/>
      <c r="H24" s="173"/>
      <c r="I24" s="173"/>
      <c r="J24" s="173"/>
      <c r="K24" s="173"/>
      <c r="L24" s="172"/>
      <c r="P24" s="166"/>
      <c r="Q24" s="166"/>
    </row>
    <row r="25" spans="2:17" ht="42.75" customHeight="1" x14ac:dyDescent="0.3">
      <c r="B25" s="675"/>
      <c r="C25" s="676"/>
      <c r="D25" s="174"/>
      <c r="E25" s="173"/>
      <c r="F25" s="174"/>
      <c r="G25" s="173"/>
      <c r="H25" s="173"/>
      <c r="I25" s="173"/>
      <c r="J25" s="173"/>
      <c r="K25" s="173"/>
      <c r="L25" s="172"/>
    </row>
    <row r="26" spans="2:17" ht="42.75" customHeight="1" x14ac:dyDescent="0.3">
      <c r="B26" s="675"/>
      <c r="C26" s="676"/>
      <c r="D26" s="174"/>
      <c r="E26" s="173"/>
      <c r="F26" s="174"/>
      <c r="G26" s="173"/>
      <c r="H26" s="173"/>
      <c r="I26" s="173"/>
      <c r="J26" s="173"/>
      <c r="K26" s="173"/>
      <c r="L26" s="172"/>
    </row>
    <row r="27" spans="2:17" ht="42.75" customHeight="1" x14ac:dyDescent="0.3">
      <c r="B27" s="675"/>
      <c r="C27" s="676"/>
      <c r="D27" s="174"/>
      <c r="E27" s="173"/>
      <c r="F27" s="174"/>
      <c r="G27" s="173"/>
      <c r="H27" s="173"/>
      <c r="I27" s="173"/>
      <c r="J27" s="173"/>
      <c r="K27" s="173"/>
      <c r="L27" s="172"/>
    </row>
    <row r="28" spans="2:17" ht="42.75" customHeight="1" x14ac:dyDescent="0.3">
      <c r="B28" s="675"/>
      <c r="C28" s="676"/>
      <c r="D28" s="174"/>
      <c r="E28" s="173"/>
      <c r="F28" s="174"/>
      <c r="G28" s="173"/>
      <c r="H28" s="173"/>
      <c r="I28" s="173"/>
      <c r="J28" s="173"/>
      <c r="K28" s="173"/>
      <c r="L28" s="172"/>
    </row>
    <row r="29" spans="2:17" ht="42.75" customHeight="1" x14ac:dyDescent="0.3">
      <c r="B29" s="675"/>
      <c r="C29" s="676"/>
      <c r="D29" s="174"/>
      <c r="E29" s="173"/>
      <c r="F29" s="174"/>
      <c r="G29" s="173"/>
      <c r="H29" s="173"/>
      <c r="I29" s="173"/>
      <c r="J29" s="173"/>
      <c r="K29" s="173"/>
      <c r="L29" s="172"/>
    </row>
    <row r="30" spans="2:17" ht="42.75" customHeight="1" x14ac:dyDescent="0.3">
      <c r="B30" s="675"/>
      <c r="C30" s="676"/>
      <c r="D30" s="174"/>
      <c r="E30" s="173"/>
      <c r="F30" s="174"/>
      <c r="G30" s="173"/>
      <c r="H30" s="173"/>
      <c r="I30" s="173"/>
      <c r="J30" s="173"/>
      <c r="K30" s="173"/>
      <c r="L30" s="172"/>
    </row>
    <row r="31" spans="2:17" ht="42.75" customHeight="1" x14ac:dyDescent="0.3">
      <c r="B31" s="675"/>
      <c r="C31" s="676"/>
      <c r="D31" s="174"/>
      <c r="E31" s="173"/>
      <c r="F31" s="174"/>
      <c r="G31" s="173"/>
      <c r="H31" s="173"/>
      <c r="I31" s="173"/>
      <c r="J31" s="173"/>
      <c r="K31" s="173"/>
      <c r="L31" s="172"/>
    </row>
    <row r="32" spans="2:17" ht="42.75" customHeight="1" x14ac:dyDescent="0.3">
      <c r="B32" s="675"/>
      <c r="C32" s="676"/>
      <c r="D32" s="174"/>
      <c r="E32" s="173"/>
      <c r="F32" s="174"/>
      <c r="G32" s="173"/>
      <c r="H32" s="173"/>
      <c r="I32" s="173"/>
      <c r="J32" s="173"/>
      <c r="K32" s="173"/>
      <c r="L32" s="172"/>
    </row>
    <row r="33" spans="2:12" ht="42.75" customHeight="1" x14ac:dyDescent="0.3">
      <c r="B33" s="675"/>
      <c r="C33" s="676"/>
      <c r="D33" s="174"/>
      <c r="E33" s="173"/>
      <c r="F33" s="174"/>
      <c r="G33" s="173"/>
      <c r="H33" s="173"/>
      <c r="I33" s="173"/>
      <c r="J33" s="173"/>
      <c r="K33" s="173"/>
      <c r="L33" s="172"/>
    </row>
    <row r="34" spans="2:12" ht="42.75" customHeight="1" x14ac:dyDescent="0.3">
      <c r="B34" s="675"/>
      <c r="C34" s="676"/>
      <c r="D34" s="174"/>
      <c r="E34" s="173"/>
      <c r="F34" s="174"/>
      <c r="G34" s="173"/>
      <c r="H34" s="173"/>
      <c r="I34" s="173"/>
      <c r="J34" s="173"/>
      <c r="K34" s="173"/>
      <c r="L34" s="172"/>
    </row>
    <row r="35" spans="2:12" ht="42.75" customHeight="1" x14ac:dyDescent="0.3">
      <c r="B35" s="675"/>
      <c r="C35" s="676"/>
      <c r="D35" s="174"/>
      <c r="E35" s="173"/>
      <c r="F35" s="174"/>
      <c r="G35" s="173"/>
      <c r="H35" s="173"/>
      <c r="I35" s="173"/>
      <c r="J35" s="173"/>
      <c r="K35" s="173"/>
      <c r="L35" s="172"/>
    </row>
    <row r="36" spans="2:12" ht="42.75" customHeight="1" x14ac:dyDescent="0.3">
      <c r="B36" s="675"/>
      <c r="C36" s="676"/>
      <c r="D36" s="174"/>
      <c r="E36" s="173"/>
      <c r="F36" s="174"/>
      <c r="G36" s="173"/>
      <c r="H36" s="173"/>
      <c r="I36" s="173"/>
      <c r="J36" s="173"/>
      <c r="K36" s="173"/>
      <c r="L36" s="172"/>
    </row>
    <row r="37" spans="2:12" ht="42.75" customHeight="1" x14ac:dyDescent="0.3">
      <c r="B37" s="675"/>
      <c r="C37" s="676"/>
      <c r="D37" s="174"/>
      <c r="E37" s="173"/>
      <c r="F37" s="174"/>
      <c r="G37" s="173"/>
      <c r="H37" s="173"/>
      <c r="I37" s="173"/>
      <c r="J37" s="173"/>
      <c r="K37" s="173"/>
      <c r="L37" s="172"/>
    </row>
    <row r="38" spans="2:12" ht="42.75" customHeight="1" x14ac:dyDescent="0.3">
      <c r="B38" s="675"/>
      <c r="C38" s="676"/>
      <c r="D38" s="174"/>
      <c r="E38" s="173"/>
      <c r="F38" s="174"/>
      <c r="G38" s="173"/>
      <c r="H38" s="173"/>
      <c r="I38" s="173"/>
      <c r="J38" s="173"/>
      <c r="K38" s="173"/>
      <c r="L38" s="172"/>
    </row>
    <row r="39" spans="2:12" ht="42.75" customHeight="1" x14ac:dyDescent="0.3">
      <c r="B39" s="675"/>
      <c r="C39" s="676"/>
      <c r="D39" s="174"/>
      <c r="E39" s="173"/>
      <c r="F39" s="174"/>
      <c r="G39" s="173"/>
      <c r="H39" s="173"/>
      <c r="I39" s="173"/>
      <c r="J39" s="173"/>
      <c r="K39" s="173"/>
      <c r="L39" s="172"/>
    </row>
    <row r="40" spans="2:12" ht="42.75" customHeight="1" x14ac:dyDescent="0.3">
      <c r="B40" s="675"/>
      <c r="C40" s="676"/>
      <c r="D40" s="174"/>
      <c r="E40" s="173"/>
      <c r="F40" s="174"/>
      <c r="G40" s="173"/>
      <c r="H40" s="173"/>
      <c r="I40" s="173"/>
      <c r="J40" s="173"/>
      <c r="K40" s="173"/>
      <c r="L40" s="172"/>
    </row>
    <row r="41" spans="2:12" ht="42.75" customHeight="1" x14ac:dyDescent="0.3">
      <c r="B41" s="675"/>
      <c r="C41" s="676"/>
      <c r="D41" s="174"/>
      <c r="E41" s="173"/>
      <c r="F41" s="174"/>
      <c r="G41" s="173"/>
      <c r="H41" s="173"/>
      <c r="I41" s="173"/>
      <c r="J41" s="173"/>
      <c r="K41" s="173"/>
      <c r="L41" s="172"/>
    </row>
    <row r="42" spans="2:12" ht="42.75" customHeight="1" x14ac:dyDescent="0.3">
      <c r="B42" s="675"/>
      <c r="C42" s="676"/>
      <c r="D42" s="174"/>
      <c r="E42" s="173"/>
      <c r="F42" s="174"/>
      <c r="G42" s="173"/>
      <c r="H42" s="173"/>
      <c r="I42" s="173"/>
      <c r="J42" s="173"/>
      <c r="K42" s="173"/>
      <c r="L42" s="172"/>
    </row>
  </sheetData>
  <sheetProtection algorithmName="SHA-512" hashValue="5wLNNLJWeZTVOenGGziB0LPnuA2yLRNKHZ+l24D46iMPTeHYobUueR3Z2Geq49kVaw0ebdtW2lz6fbGSnG4YNA==" saltValue="N7mAp/Bv9E8JvEFi4YnjLw==" spinCount="100000" sheet="1" objects="1" scenarios="1" selectLockedCells="1"/>
  <mergeCells count="41">
    <mergeCell ref="B42:C42"/>
    <mergeCell ref="B39:C39"/>
    <mergeCell ref="B40:C40"/>
    <mergeCell ref="B41:C41"/>
    <mergeCell ref="B36:C36"/>
    <mergeCell ref="B37:C37"/>
    <mergeCell ref="B38:C38"/>
    <mergeCell ref="B9:L9"/>
    <mergeCell ref="B25:C25"/>
    <mergeCell ref="B26:C26"/>
    <mergeCell ref="B27:C27"/>
    <mergeCell ref="B22:C22"/>
    <mergeCell ref="B23:C23"/>
    <mergeCell ref="B24:C24"/>
    <mergeCell ref="B20:C20"/>
    <mergeCell ref="B21:C21"/>
    <mergeCell ref="B34:C34"/>
    <mergeCell ref="B35:C35"/>
    <mergeCell ref="B15:C17"/>
    <mergeCell ref="B31:C31"/>
    <mergeCell ref="B32:C32"/>
    <mergeCell ref="B33:C33"/>
    <mergeCell ref="B28:C28"/>
    <mergeCell ref="B29:C29"/>
    <mergeCell ref="B30:C30"/>
    <mergeCell ref="B4:L4"/>
    <mergeCell ref="B5:L5"/>
    <mergeCell ref="B6:L6"/>
    <mergeCell ref="B18:C18"/>
    <mergeCell ref="B19:C19"/>
    <mergeCell ref="D15:D17"/>
    <mergeCell ref="E15:E17"/>
    <mergeCell ref="F15:F17"/>
    <mergeCell ref="I15:J16"/>
    <mergeCell ref="K15:L16"/>
    <mergeCell ref="G15:H16"/>
    <mergeCell ref="B11:L11"/>
    <mergeCell ref="B8:L8"/>
    <mergeCell ref="B12:L12"/>
    <mergeCell ref="B13:L13"/>
    <mergeCell ref="B14:L14"/>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workbookViewId="0"/>
  </sheetViews>
  <sheetFormatPr defaultColWidth="9.44140625" defaultRowHeight="14.4" x14ac:dyDescent="0.3"/>
  <cols>
    <col min="1" max="1" width="1.5546875" style="8" customWidth="1"/>
    <col min="2" max="2" width="12.44140625" style="1" customWidth="1"/>
    <col min="3" max="3" width="5.5546875" style="1" customWidth="1"/>
    <col min="4" max="4" width="18.5546875" style="1" customWidth="1"/>
    <col min="5" max="12" width="15.44140625" style="1" customWidth="1"/>
    <col min="13" max="13" width="6.44140625" style="9" customWidth="1"/>
    <col min="14" max="14" width="9.44140625" style="10" customWidth="1"/>
    <col min="15" max="15" width="37.44140625" style="10" hidden="1" customWidth="1"/>
    <col min="16" max="16" width="25.5546875" style="10" hidden="1" customWidth="1"/>
    <col min="17" max="17" width="9.44140625" style="10" customWidth="1"/>
    <col min="18" max="16384" width="9.44140625" style="10"/>
  </cols>
  <sheetData>
    <row r="1" spans="1:16" x14ac:dyDescent="0.3">
      <c r="O1" s="10" t="s">
        <v>481</v>
      </c>
      <c r="P1" s="10" t="s">
        <v>481</v>
      </c>
    </row>
    <row r="2" spans="1:16" x14ac:dyDescent="0.3">
      <c r="B2" s="12" t="s">
        <v>66</v>
      </c>
      <c r="C2" s="12"/>
      <c r="O2" s="197" t="s">
        <v>93</v>
      </c>
      <c r="P2" s="197" t="s">
        <v>109</v>
      </c>
    </row>
    <row r="3" spans="1:16" x14ac:dyDescent="0.3">
      <c r="B3" s="13"/>
      <c r="C3" s="13"/>
      <c r="O3" s="2"/>
      <c r="P3" s="2"/>
    </row>
    <row r="4" spans="1:16" s="2" customFormat="1" x14ac:dyDescent="0.3">
      <c r="A4" s="4"/>
      <c r="B4" s="588" t="str">
        <f>Info!B4</f>
        <v>IMPORTERS' QUESTIONNAIRE</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x14ac:dyDescent="0.3">
      <c r="A6" s="4"/>
      <c r="B6" s="707" t="str">
        <f>Info!B6</f>
        <v>FORGED GRINDING MEDIA</v>
      </c>
      <c r="C6" s="708"/>
      <c r="D6" s="708"/>
      <c r="E6" s="708"/>
      <c r="F6" s="708"/>
      <c r="G6" s="708"/>
      <c r="H6" s="708"/>
      <c r="I6" s="708"/>
      <c r="J6" s="708"/>
      <c r="K6" s="708"/>
      <c r="L6" s="709"/>
      <c r="M6" s="19"/>
      <c r="N6" s="19"/>
      <c r="O6" s="15"/>
      <c r="P6" s="15"/>
    </row>
    <row r="7" spans="1:16" s="6" customFormat="1" x14ac:dyDescent="0.3">
      <c r="A7" s="4"/>
      <c r="B7" s="14"/>
      <c r="C7" s="14"/>
      <c r="D7" s="3"/>
      <c r="E7" s="3"/>
      <c r="F7" s="3"/>
      <c r="G7" s="3"/>
      <c r="H7" s="3"/>
      <c r="I7" s="3"/>
      <c r="J7" s="3"/>
      <c r="K7" s="3"/>
      <c r="L7" s="3"/>
      <c r="O7" s="15"/>
      <c r="P7" s="15"/>
    </row>
    <row r="8" spans="1:16" x14ac:dyDescent="0.3">
      <c r="B8" s="506" t="str">
        <f>UPPER(IF(Intro!$G$20="English",O8,P8))</f>
        <v>PUBLIC COMMENTS</v>
      </c>
      <c r="C8" s="507"/>
      <c r="D8" s="507"/>
      <c r="E8" s="507"/>
      <c r="F8" s="507"/>
      <c r="G8" s="507"/>
      <c r="H8" s="507"/>
      <c r="I8" s="507"/>
      <c r="J8" s="507"/>
      <c r="K8" s="507"/>
      <c r="L8" s="508"/>
      <c r="M8" s="10"/>
      <c r="O8" s="10" t="s">
        <v>33</v>
      </c>
      <c r="P8" s="10" t="s">
        <v>84</v>
      </c>
    </row>
    <row r="9" spans="1:16" x14ac:dyDescent="0.3">
      <c r="B9" s="16"/>
      <c r="C9" s="35"/>
      <c r="D9" s="36"/>
      <c r="E9" s="36"/>
      <c r="F9" s="36"/>
      <c r="G9" s="36"/>
      <c r="H9" s="36"/>
      <c r="I9" s="36"/>
      <c r="J9" s="36"/>
      <c r="K9" s="36"/>
      <c r="L9" s="17"/>
      <c r="M9" s="10"/>
    </row>
    <row r="10" spans="1:16" x14ac:dyDescent="0.3">
      <c r="B10" s="503" t="str">
        <f>IF(Intro!$G$20="English",O10,P10)</f>
        <v>Should your firm wish to add any comments related to its responses, submit them here. Be sure to indicate the applicable question number.</v>
      </c>
      <c r="C10" s="504"/>
      <c r="D10" s="504"/>
      <c r="E10" s="504"/>
      <c r="F10" s="504"/>
      <c r="G10" s="504"/>
      <c r="H10" s="504"/>
      <c r="I10" s="504"/>
      <c r="J10" s="504"/>
      <c r="K10" s="504"/>
      <c r="L10" s="505"/>
      <c r="M10" s="10"/>
      <c r="O10" s="18" t="s">
        <v>232</v>
      </c>
      <c r="P10" s="10" t="s">
        <v>211</v>
      </c>
    </row>
    <row r="11" spans="1:16" x14ac:dyDescent="0.3">
      <c r="B11" s="61"/>
      <c r="C11" s="35"/>
      <c r="D11" s="36"/>
      <c r="E11" s="36"/>
      <c r="F11" s="36"/>
      <c r="G11" s="36"/>
      <c r="H11" s="36"/>
      <c r="I11" s="36"/>
      <c r="J11" s="36"/>
      <c r="K11" s="36"/>
      <c r="L11" s="17"/>
      <c r="M11" s="10"/>
      <c r="O11" s="47" t="s">
        <v>454</v>
      </c>
      <c r="P11" s="47" t="s">
        <v>455</v>
      </c>
    </row>
    <row r="12" spans="1:16" x14ac:dyDescent="0.3">
      <c r="B12" s="61"/>
      <c r="C12" s="35"/>
      <c r="D12" s="129" t="str">
        <f>IF(Intro!$G$20="English",O11,P11)</f>
        <v>Tab and Question</v>
      </c>
      <c r="E12" s="710" t="str">
        <f>IF(Intro!$G$20="English",O12,P12)</f>
        <v>Comments</v>
      </c>
      <c r="F12" s="710"/>
      <c r="G12" s="710"/>
      <c r="H12" s="710"/>
      <c r="I12" s="710"/>
      <c r="J12" s="710"/>
      <c r="K12" s="710"/>
      <c r="L12" s="711"/>
      <c r="M12" s="10"/>
      <c r="O12" s="18" t="s">
        <v>129</v>
      </c>
      <c r="P12" s="10" t="s">
        <v>130</v>
      </c>
    </row>
    <row r="13" spans="1:16" x14ac:dyDescent="0.3">
      <c r="B13" s="702" t="str">
        <f>IF(Intro!$G$20="English",O13,P13)</f>
        <v>Comment 1</v>
      </c>
      <c r="C13" s="703"/>
      <c r="D13" s="704"/>
      <c r="E13" s="705"/>
      <c r="F13" s="705"/>
      <c r="G13" s="705"/>
      <c r="H13" s="705"/>
      <c r="I13" s="705"/>
      <c r="J13" s="705"/>
      <c r="K13" s="705"/>
      <c r="L13" s="706"/>
      <c r="M13" s="10"/>
      <c r="O13" s="18" t="s">
        <v>131</v>
      </c>
      <c r="P13" s="10" t="s">
        <v>132</v>
      </c>
    </row>
    <row r="14" spans="1:16" x14ac:dyDescent="0.3">
      <c r="B14" s="702"/>
      <c r="C14" s="703"/>
      <c r="D14" s="704"/>
      <c r="E14" s="705"/>
      <c r="F14" s="705"/>
      <c r="G14" s="705"/>
      <c r="H14" s="705"/>
      <c r="I14" s="705"/>
      <c r="J14" s="705"/>
      <c r="K14" s="705"/>
      <c r="L14" s="706"/>
      <c r="M14" s="10"/>
      <c r="O14" s="18"/>
    </row>
    <row r="15" spans="1:16" x14ac:dyDescent="0.3">
      <c r="B15" s="702"/>
      <c r="C15" s="703"/>
      <c r="D15" s="704"/>
      <c r="E15" s="705"/>
      <c r="F15" s="705"/>
      <c r="G15" s="705"/>
      <c r="H15" s="705"/>
      <c r="I15" s="705"/>
      <c r="J15" s="705"/>
      <c r="K15" s="705"/>
      <c r="L15" s="706"/>
      <c r="M15" s="10"/>
      <c r="O15" s="18"/>
    </row>
    <row r="16" spans="1:16" x14ac:dyDescent="0.3">
      <c r="B16" s="702"/>
      <c r="C16" s="703"/>
      <c r="D16" s="704"/>
      <c r="E16" s="705"/>
      <c r="F16" s="705"/>
      <c r="G16" s="705"/>
      <c r="H16" s="705"/>
      <c r="I16" s="705"/>
      <c r="J16" s="705"/>
      <c r="K16" s="705"/>
      <c r="L16" s="706"/>
      <c r="M16" s="10"/>
      <c r="O16" s="18"/>
    </row>
    <row r="17" spans="2:16" x14ac:dyDescent="0.3">
      <c r="B17" s="702"/>
      <c r="C17" s="703"/>
      <c r="D17" s="704"/>
      <c r="E17" s="705"/>
      <c r="F17" s="705"/>
      <c r="G17" s="705"/>
      <c r="H17" s="705"/>
      <c r="I17" s="705"/>
      <c r="J17" s="705"/>
      <c r="K17" s="705"/>
      <c r="L17" s="706"/>
      <c r="M17" s="10"/>
      <c r="O17" s="18"/>
    </row>
    <row r="18" spans="2:16" x14ac:dyDescent="0.3">
      <c r="B18" s="702"/>
      <c r="C18" s="703"/>
      <c r="D18" s="704"/>
      <c r="E18" s="705"/>
      <c r="F18" s="705"/>
      <c r="G18" s="705"/>
      <c r="H18" s="705"/>
      <c r="I18" s="705"/>
      <c r="J18" s="705"/>
      <c r="K18" s="705"/>
      <c r="L18" s="706"/>
      <c r="M18" s="10"/>
      <c r="O18" s="18"/>
    </row>
    <row r="19" spans="2:16" x14ac:dyDescent="0.3">
      <c r="B19" s="702"/>
      <c r="C19" s="703"/>
      <c r="D19" s="704"/>
      <c r="E19" s="705"/>
      <c r="F19" s="705"/>
      <c r="G19" s="705"/>
      <c r="H19" s="705"/>
      <c r="I19" s="705"/>
      <c r="J19" s="705"/>
      <c r="K19" s="705"/>
      <c r="L19" s="706"/>
      <c r="M19" s="10"/>
      <c r="O19" s="18"/>
    </row>
    <row r="20" spans="2:16" x14ac:dyDescent="0.3">
      <c r="B20" s="702"/>
      <c r="C20" s="703"/>
      <c r="D20" s="704"/>
      <c r="E20" s="705"/>
      <c r="F20" s="705"/>
      <c r="G20" s="705"/>
      <c r="H20" s="705"/>
      <c r="I20" s="705"/>
      <c r="J20" s="705"/>
      <c r="K20" s="705"/>
      <c r="L20" s="706"/>
      <c r="M20" s="10"/>
      <c r="O20" s="18"/>
    </row>
    <row r="21" spans="2:16" x14ac:dyDescent="0.3">
      <c r="B21" s="702"/>
      <c r="C21" s="703"/>
      <c r="D21" s="704"/>
      <c r="E21" s="705"/>
      <c r="F21" s="705"/>
      <c r="G21" s="705"/>
      <c r="H21" s="705"/>
      <c r="I21" s="705"/>
      <c r="J21" s="705"/>
      <c r="K21" s="705"/>
      <c r="L21" s="706"/>
      <c r="M21" s="10"/>
      <c r="O21" s="18"/>
    </row>
    <row r="22" spans="2:16" x14ac:dyDescent="0.3">
      <c r="B22" s="702"/>
      <c r="C22" s="703"/>
      <c r="D22" s="704"/>
      <c r="E22" s="705"/>
      <c r="F22" s="705"/>
      <c r="G22" s="705"/>
      <c r="H22" s="705"/>
      <c r="I22" s="705"/>
      <c r="J22" s="705"/>
      <c r="K22" s="705"/>
      <c r="L22" s="706"/>
      <c r="M22" s="10"/>
      <c r="O22" s="18"/>
    </row>
    <row r="23" spans="2:16" x14ac:dyDescent="0.3">
      <c r="B23" s="702" t="str">
        <f>IF(Intro!$G$20="English",O23,P23)</f>
        <v>Comment 2</v>
      </c>
      <c r="C23" s="703"/>
      <c r="D23" s="704"/>
      <c r="E23" s="705"/>
      <c r="F23" s="705"/>
      <c r="G23" s="705"/>
      <c r="H23" s="705"/>
      <c r="I23" s="705"/>
      <c r="J23" s="705"/>
      <c r="K23" s="705"/>
      <c r="L23" s="706"/>
      <c r="M23" s="10"/>
      <c r="O23" s="18" t="s">
        <v>133</v>
      </c>
      <c r="P23" s="10" t="s">
        <v>134</v>
      </c>
    </row>
    <row r="24" spans="2:16" x14ac:dyDescent="0.3">
      <c r="B24" s="702"/>
      <c r="C24" s="703"/>
      <c r="D24" s="704"/>
      <c r="E24" s="705"/>
      <c r="F24" s="705"/>
      <c r="G24" s="705"/>
      <c r="H24" s="705"/>
      <c r="I24" s="705"/>
      <c r="J24" s="705"/>
      <c r="K24" s="705"/>
      <c r="L24" s="706"/>
      <c r="M24" s="10"/>
    </row>
    <row r="25" spans="2:16" x14ac:dyDescent="0.3">
      <c r="B25" s="702"/>
      <c r="C25" s="703"/>
      <c r="D25" s="704"/>
      <c r="E25" s="705"/>
      <c r="F25" s="705"/>
      <c r="G25" s="705"/>
      <c r="H25" s="705"/>
      <c r="I25" s="705"/>
      <c r="J25" s="705"/>
      <c r="K25" s="705"/>
      <c r="L25" s="706"/>
      <c r="M25" s="10"/>
    </row>
    <row r="26" spans="2:16" x14ac:dyDescent="0.3">
      <c r="B26" s="702"/>
      <c r="C26" s="703"/>
      <c r="D26" s="704"/>
      <c r="E26" s="705"/>
      <c r="F26" s="705"/>
      <c r="G26" s="705"/>
      <c r="H26" s="705"/>
      <c r="I26" s="705"/>
      <c r="J26" s="705"/>
      <c r="K26" s="705"/>
      <c r="L26" s="706"/>
      <c r="M26" s="10"/>
      <c r="O26" s="18"/>
    </row>
    <row r="27" spans="2:16" x14ac:dyDescent="0.3">
      <c r="B27" s="702"/>
      <c r="C27" s="703"/>
      <c r="D27" s="704"/>
      <c r="E27" s="705"/>
      <c r="F27" s="705"/>
      <c r="G27" s="705"/>
      <c r="H27" s="705"/>
      <c r="I27" s="705"/>
      <c r="J27" s="705"/>
      <c r="K27" s="705"/>
      <c r="L27" s="706"/>
      <c r="M27" s="10"/>
      <c r="O27" s="18"/>
    </row>
    <row r="28" spans="2:16" x14ac:dyDescent="0.3">
      <c r="B28" s="702"/>
      <c r="C28" s="703"/>
      <c r="D28" s="704"/>
      <c r="E28" s="705"/>
      <c r="F28" s="705"/>
      <c r="G28" s="705"/>
      <c r="H28" s="705"/>
      <c r="I28" s="705"/>
      <c r="J28" s="705"/>
      <c r="K28" s="705"/>
      <c r="L28" s="706"/>
      <c r="M28" s="10"/>
    </row>
    <row r="29" spans="2:16" x14ac:dyDescent="0.3">
      <c r="B29" s="702"/>
      <c r="C29" s="703"/>
      <c r="D29" s="704"/>
      <c r="E29" s="705"/>
      <c r="F29" s="705"/>
      <c r="G29" s="705"/>
      <c r="H29" s="705"/>
      <c r="I29" s="705"/>
      <c r="J29" s="705"/>
      <c r="K29" s="705"/>
      <c r="L29" s="706"/>
      <c r="M29" s="10"/>
      <c r="O29" s="18"/>
    </row>
    <row r="30" spans="2:16" x14ac:dyDescent="0.3">
      <c r="B30" s="702"/>
      <c r="C30" s="703"/>
      <c r="D30" s="704"/>
      <c r="E30" s="705"/>
      <c r="F30" s="705"/>
      <c r="G30" s="705"/>
      <c r="H30" s="705"/>
      <c r="I30" s="705"/>
      <c r="J30" s="705"/>
      <c r="K30" s="705"/>
      <c r="L30" s="706"/>
      <c r="M30" s="10"/>
      <c r="O30" s="18"/>
    </row>
    <row r="31" spans="2:16" x14ac:dyDescent="0.3">
      <c r="B31" s="702"/>
      <c r="C31" s="703"/>
      <c r="D31" s="704"/>
      <c r="E31" s="705"/>
      <c r="F31" s="705"/>
      <c r="G31" s="705"/>
      <c r="H31" s="705"/>
      <c r="I31" s="705"/>
      <c r="J31" s="705"/>
      <c r="K31" s="705"/>
      <c r="L31" s="706"/>
      <c r="M31" s="10"/>
      <c r="O31" s="18"/>
    </row>
    <row r="32" spans="2:16" x14ac:dyDescent="0.3">
      <c r="B32" s="702"/>
      <c r="C32" s="703"/>
      <c r="D32" s="704"/>
      <c r="E32" s="705"/>
      <c r="F32" s="705"/>
      <c r="G32" s="705"/>
      <c r="H32" s="705"/>
      <c r="I32" s="705"/>
      <c r="J32" s="705"/>
      <c r="K32" s="705"/>
      <c r="L32" s="706"/>
      <c r="M32" s="10"/>
      <c r="O32" s="18"/>
    </row>
    <row r="33" spans="2:16" x14ac:dyDescent="0.3">
      <c r="B33" s="702" t="str">
        <f>IF(Intro!$G$20="English",O33,P33)</f>
        <v>Comment 3</v>
      </c>
      <c r="C33" s="703"/>
      <c r="D33" s="704"/>
      <c r="E33" s="705"/>
      <c r="F33" s="705"/>
      <c r="G33" s="705"/>
      <c r="H33" s="705"/>
      <c r="I33" s="705"/>
      <c r="J33" s="705"/>
      <c r="K33" s="705"/>
      <c r="L33" s="706"/>
      <c r="M33" s="10"/>
      <c r="O33" s="18" t="s">
        <v>135</v>
      </c>
      <c r="P33" s="10" t="s">
        <v>136</v>
      </c>
    </row>
    <row r="34" spans="2:16" x14ac:dyDescent="0.3">
      <c r="B34" s="702"/>
      <c r="C34" s="703"/>
      <c r="D34" s="704"/>
      <c r="E34" s="705"/>
      <c r="F34" s="705"/>
      <c r="G34" s="705"/>
      <c r="H34" s="705"/>
      <c r="I34" s="705"/>
      <c r="J34" s="705"/>
      <c r="K34" s="705"/>
      <c r="L34" s="706"/>
      <c r="M34" s="10"/>
      <c r="O34" s="18"/>
    </row>
    <row r="35" spans="2:16" x14ac:dyDescent="0.3">
      <c r="B35" s="702"/>
      <c r="C35" s="703"/>
      <c r="D35" s="704"/>
      <c r="E35" s="705"/>
      <c r="F35" s="705"/>
      <c r="G35" s="705"/>
      <c r="H35" s="705"/>
      <c r="I35" s="705"/>
      <c r="J35" s="705"/>
      <c r="K35" s="705"/>
      <c r="L35" s="706"/>
      <c r="M35" s="10"/>
      <c r="O35" s="18"/>
    </row>
    <row r="36" spans="2:16" x14ac:dyDescent="0.3">
      <c r="B36" s="702"/>
      <c r="C36" s="703"/>
      <c r="D36" s="704"/>
      <c r="E36" s="705"/>
      <c r="F36" s="705"/>
      <c r="G36" s="705"/>
      <c r="H36" s="705"/>
      <c r="I36" s="705"/>
      <c r="J36" s="705"/>
      <c r="K36" s="705"/>
      <c r="L36" s="706"/>
      <c r="M36" s="10"/>
      <c r="O36" s="18"/>
    </row>
    <row r="37" spans="2:16" x14ac:dyDescent="0.3">
      <c r="B37" s="702"/>
      <c r="C37" s="703"/>
      <c r="D37" s="704"/>
      <c r="E37" s="705"/>
      <c r="F37" s="705"/>
      <c r="G37" s="705"/>
      <c r="H37" s="705"/>
      <c r="I37" s="705"/>
      <c r="J37" s="705"/>
      <c r="K37" s="705"/>
      <c r="L37" s="706"/>
      <c r="M37" s="10"/>
      <c r="O37" s="18"/>
    </row>
    <row r="38" spans="2:16" x14ac:dyDescent="0.3">
      <c r="B38" s="702"/>
      <c r="C38" s="703"/>
      <c r="D38" s="704"/>
      <c r="E38" s="705"/>
      <c r="F38" s="705"/>
      <c r="G38" s="705"/>
      <c r="H38" s="705"/>
      <c r="I38" s="705"/>
      <c r="J38" s="705"/>
      <c r="K38" s="705"/>
      <c r="L38" s="706"/>
      <c r="M38" s="10"/>
      <c r="O38" s="18"/>
    </row>
    <row r="39" spans="2:16" x14ac:dyDescent="0.3">
      <c r="B39" s="702"/>
      <c r="C39" s="703"/>
      <c r="D39" s="704"/>
      <c r="E39" s="705"/>
      <c r="F39" s="705"/>
      <c r="G39" s="705"/>
      <c r="H39" s="705"/>
      <c r="I39" s="705"/>
      <c r="J39" s="705"/>
      <c r="K39" s="705"/>
      <c r="L39" s="706"/>
      <c r="M39" s="10"/>
      <c r="O39" s="18"/>
    </row>
    <row r="40" spans="2:16" x14ac:dyDescent="0.3">
      <c r="B40" s="702"/>
      <c r="C40" s="703"/>
      <c r="D40" s="704"/>
      <c r="E40" s="705"/>
      <c r="F40" s="705"/>
      <c r="G40" s="705"/>
      <c r="H40" s="705"/>
      <c r="I40" s="705"/>
      <c r="J40" s="705"/>
      <c r="K40" s="705"/>
      <c r="L40" s="706"/>
      <c r="M40" s="10"/>
      <c r="O40" s="18"/>
    </row>
    <row r="41" spans="2:16" x14ac:dyDescent="0.3">
      <c r="B41" s="702"/>
      <c r="C41" s="703"/>
      <c r="D41" s="704"/>
      <c r="E41" s="705"/>
      <c r="F41" s="705"/>
      <c r="G41" s="705"/>
      <c r="H41" s="705"/>
      <c r="I41" s="705"/>
      <c r="J41" s="705"/>
      <c r="K41" s="705"/>
      <c r="L41" s="706"/>
      <c r="M41" s="10"/>
      <c r="O41" s="18"/>
    </row>
    <row r="42" spans="2:16" x14ac:dyDescent="0.3">
      <c r="B42" s="702"/>
      <c r="C42" s="703"/>
      <c r="D42" s="704"/>
      <c r="E42" s="705"/>
      <c r="F42" s="705"/>
      <c r="G42" s="705"/>
      <c r="H42" s="705"/>
      <c r="I42" s="705"/>
      <c r="J42" s="705"/>
      <c r="K42" s="705"/>
      <c r="L42" s="706"/>
      <c r="M42" s="10"/>
      <c r="O42" s="18"/>
    </row>
    <row r="43" spans="2:16" x14ac:dyDescent="0.3">
      <c r="B43" s="702" t="str">
        <f>IF(Intro!$G$20="English",O43,P43)</f>
        <v>Comment 4</v>
      </c>
      <c r="C43" s="703"/>
      <c r="D43" s="704"/>
      <c r="E43" s="705"/>
      <c r="F43" s="705"/>
      <c r="G43" s="705"/>
      <c r="H43" s="705"/>
      <c r="I43" s="705"/>
      <c r="J43" s="705"/>
      <c r="K43" s="705"/>
      <c r="L43" s="706"/>
      <c r="M43" s="10"/>
      <c r="O43" s="18" t="s">
        <v>137</v>
      </c>
      <c r="P43" s="10" t="s">
        <v>138</v>
      </c>
    </row>
    <row r="44" spans="2:16" x14ac:dyDescent="0.3">
      <c r="B44" s="702"/>
      <c r="C44" s="703"/>
      <c r="D44" s="704"/>
      <c r="E44" s="705"/>
      <c r="F44" s="705"/>
      <c r="G44" s="705"/>
      <c r="H44" s="705"/>
      <c r="I44" s="705"/>
      <c r="J44" s="705"/>
      <c r="K44" s="705"/>
      <c r="L44" s="706"/>
      <c r="M44" s="10"/>
      <c r="O44" s="18"/>
    </row>
    <row r="45" spans="2:16" x14ac:dyDescent="0.3">
      <c r="B45" s="702"/>
      <c r="C45" s="703"/>
      <c r="D45" s="704"/>
      <c r="E45" s="705"/>
      <c r="F45" s="705"/>
      <c r="G45" s="705"/>
      <c r="H45" s="705"/>
      <c r="I45" s="705"/>
      <c r="J45" s="705"/>
      <c r="K45" s="705"/>
      <c r="L45" s="706"/>
      <c r="M45" s="10"/>
      <c r="O45" s="18"/>
    </row>
    <row r="46" spans="2:16" x14ac:dyDescent="0.3">
      <c r="B46" s="702"/>
      <c r="C46" s="703"/>
      <c r="D46" s="704"/>
      <c r="E46" s="705"/>
      <c r="F46" s="705"/>
      <c r="G46" s="705"/>
      <c r="H46" s="705"/>
      <c r="I46" s="705"/>
      <c r="J46" s="705"/>
      <c r="K46" s="705"/>
      <c r="L46" s="706"/>
      <c r="M46" s="10"/>
      <c r="O46" s="18"/>
    </row>
    <row r="47" spans="2:16" x14ac:dyDescent="0.3">
      <c r="B47" s="702"/>
      <c r="C47" s="703"/>
      <c r="D47" s="704"/>
      <c r="E47" s="705"/>
      <c r="F47" s="705"/>
      <c r="G47" s="705"/>
      <c r="H47" s="705"/>
      <c r="I47" s="705"/>
      <c r="J47" s="705"/>
      <c r="K47" s="705"/>
      <c r="L47" s="706"/>
      <c r="M47" s="10"/>
      <c r="O47" s="18"/>
    </row>
    <row r="48" spans="2:16" x14ac:dyDescent="0.3">
      <c r="B48" s="702"/>
      <c r="C48" s="703"/>
      <c r="D48" s="704"/>
      <c r="E48" s="705"/>
      <c r="F48" s="705"/>
      <c r="G48" s="705"/>
      <c r="H48" s="705"/>
      <c r="I48" s="705"/>
      <c r="J48" s="705"/>
      <c r="K48" s="705"/>
      <c r="L48" s="706"/>
      <c r="M48" s="10"/>
      <c r="O48" s="18"/>
    </row>
    <row r="49" spans="1:16" x14ac:dyDescent="0.3">
      <c r="B49" s="702"/>
      <c r="C49" s="703"/>
      <c r="D49" s="704"/>
      <c r="E49" s="705"/>
      <c r="F49" s="705"/>
      <c r="G49" s="705"/>
      <c r="H49" s="705"/>
      <c r="I49" s="705"/>
      <c r="J49" s="705"/>
      <c r="K49" s="705"/>
      <c r="L49" s="706"/>
      <c r="M49" s="10"/>
      <c r="O49" s="18"/>
    </row>
    <row r="50" spans="1:16" x14ac:dyDescent="0.3">
      <c r="B50" s="702"/>
      <c r="C50" s="703"/>
      <c r="D50" s="704"/>
      <c r="E50" s="705"/>
      <c r="F50" s="705"/>
      <c r="G50" s="705"/>
      <c r="H50" s="705"/>
      <c r="I50" s="705"/>
      <c r="J50" s="705"/>
      <c r="K50" s="705"/>
      <c r="L50" s="706"/>
      <c r="M50" s="10"/>
      <c r="O50" s="18"/>
    </row>
    <row r="51" spans="1:16" x14ac:dyDescent="0.3">
      <c r="B51" s="702"/>
      <c r="C51" s="703"/>
      <c r="D51" s="704"/>
      <c r="E51" s="705"/>
      <c r="F51" s="705"/>
      <c r="G51" s="705"/>
      <c r="H51" s="705"/>
      <c r="I51" s="705"/>
      <c r="J51" s="705"/>
      <c r="K51" s="705"/>
      <c r="L51" s="706"/>
      <c r="M51" s="10"/>
      <c r="O51" s="18"/>
    </row>
    <row r="52" spans="1:16" x14ac:dyDescent="0.3">
      <c r="B52" s="702"/>
      <c r="C52" s="703"/>
      <c r="D52" s="704"/>
      <c r="E52" s="705"/>
      <c r="F52" s="705"/>
      <c r="G52" s="705"/>
      <c r="H52" s="705"/>
      <c r="I52" s="705"/>
      <c r="J52" s="705"/>
      <c r="K52" s="705"/>
      <c r="L52" s="706"/>
      <c r="M52" s="10"/>
      <c r="O52" s="18"/>
    </row>
    <row r="53" spans="1:16" x14ac:dyDescent="0.3">
      <c r="B53" s="702" t="str">
        <f>IF(Intro!$G$20="English",O53,P53)</f>
        <v>Comment 5</v>
      </c>
      <c r="C53" s="703"/>
      <c r="D53" s="704"/>
      <c r="E53" s="705"/>
      <c r="F53" s="705"/>
      <c r="G53" s="705"/>
      <c r="H53" s="705"/>
      <c r="I53" s="705"/>
      <c r="J53" s="705"/>
      <c r="K53" s="705"/>
      <c r="L53" s="706"/>
      <c r="M53" s="10"/>
      <c r="O53" s="18" t="s">
        <v>139</v>
      </c>
      <c r="P53" s="10" t="s">
        <v>140</v>
      </c>
    </row>
    <row r="54" spans="1:16" x14ac:dyDescent="0.3">
      <c r="B54" s="702"/>
      <c r="C54" s="703"/>
      <c r="D54" s="704"/>
      <c r="E54" s="705"/>
      <c r="F54" s="705"/>
      <c r="G54" s="705"/>
      <c r="H54" s="705"/>
      <c r="I54" s="705"/>
      <c r="J54" s="705"/>
      <c r="K54" s="705"/>
      <c r="L54" s="706"/>
      <c r="M54" s="10"/>
      <c r="O54" s="18"/>
    </row>
    <row r="55" spans="1:16" x14ac:dyDescent="0.3">
      <c r="B55" s="702"/>
      <c r="C55" s="703"/>
      <c r="D55" s="704"/>
      <c r="E55" s="705"/>
      <c r="F55" s="705"/>
      <c r="G55" s="705"/>
      <c r="H55" s="705"/>
      <c r="I55" s="705"/>
      <c r="J55" s="705"/>
      <c r="K55" s="705"/>
      <c r="L55" s="706"/>
      <c r="M55" s="10"/>
      <c r="O55" s="18"/>
    </row>
    <row r="56" spans="1:16" x14ac:dyDescent="0.3">
      <c r="B56" s="702"/>
      <c r="C56" s="703"/>
      <c r="D56" s="704"/>
      <c r="E56" s="705"/>
      <c r="F56" s="705"/>
      <c r="G56" s="705"/>
      <c r="H56" s="705"/>
      <c r="I56" s="705"/>
      <c r="J56" s="705"/>
      <c r="K56" s="705"/>
      <c r="L56" s="706"/>
      <c r="M56" s="10"/>
      <c r="O56" s="18"/>
    </row>
    <row r="57" spans="1:16" x14ac:dyDescent="0.3">
      <c r="B57" s="702"/>
      <c r="C57" s="703"/>
      <c r="D57" s="704"/>
      <c r="E57" s="705"/>
      <c r="F57" s="705"/>
      <c r="G57" s="705"/>
      <c r="H57" s="705"/>
      <c r="I57" s="705"/>
      <c r="J57" s="705"/>
      <c r="K57" s="705"/>
      <c r="L57" s="706"/>
      <c r="M57" s="10"/>
      <c r="O57" s="18"/>
    </row>
    <row r="58" spans="1:16" x14ac:dyDescent="0.3">
      <c r="B58" s="702"/>
      <c r="C58" s="703"/>
      <c r="D58" s="704"/>
      <c r="E58" s="705"/>
      <c r="F58" s="705"/>
      <c r="G58" s="705"/>
      <c r="H58" s="705"/>
      <c r="I58" s="705"/>
      <c r="J58" s="705"/>
      <c r="K58" s="705"/>
      <c r="L58" s="706"/>
      <c r="M58" s="10"/>
      <c r="O58" s="18"/>
    </row>
    <row r="59" spans="1:16" x14ac:dyDescent="0.3">
      <c r="B59" s="702"/>
      <c r="C59" s="703"/>
      <c r="D59" s="704"/>
      <c r="E59" s="705"/>
      <c r="F59" s="705"/>
      <c r="G59" s="705"/>
      <c r="H59" s="705"/>
      <c r="I59" s="705"/>
      <c r="J59" s="705"/>
      <c r="K59" s="705"/>
      <c r="L59" s="706"/>
      <c r="M59" s="10"/>
      <c r="O59" s="18"/>
    </row>
    <row r="60" spans="1:16" x14ac:dyDescent="0.3">
      <c r="B60" s="702"/>
      <c r="C60" s="703"/>
      <c r="D60" s="704"/>
      <c r="E60" s="705"/>
      <c r="F60" s="705"/>
      <c r="G60" s="705"/>
      <c r="H60" s="705"/>
      <c r="I60" s="705"/>
      <c r="J60" s="705"/>
      <c r="K60" s="705"/>
      <c r="L60" s="706"/>
      <c r="M60" s="10"/>
      <c r="O60" s="18"/>
    </row>
    <row r="61" spans="1:16" x14ac:dyDescent="0.3">
      <c r="B61" s="702"/>
      <c r="C61" s="703"/>
      <c r="D61" s="704"/>
      <c r="E61" s="705"/>
      <c r="F61" s="705"/>
      <c r="G61" s="705"/>
      <c r="H61" s="705"/>
      <c r="I61" s="705"/>
      <c r="J61" s="705"/>
      <c r="K61" s="705"/>
      <c r="L61" s="706"/>
      <c r="M61" s="10"/>
      <c r="O61" s="18"/>
    </row>
    <row r="62" spans="1:16" x14ac:dyDescent="0.3">
      <c r="B62" s="712"/>
      <c r="C62" s="713"/>
      <c r="D62" s="714"/>
      <c r="E62" s="715"/>
      <c r="F62" s="715"/>
      <c r="G62" s="715"/>
      <c r="H62" s="715"/>
      <c r="I62" s="715"/>
      <c r="J62" s="715"/>
      <c r="K62" s="715"/>
      <c r="L62" s="716"/>
      <c r="M62" s="10"/>
      <c r="O62" s="18"/>
    </row>
    <row r="63" spans="1:16" s="44" customFormat="1" x14ac:dyDescent="0.3">
      <c r="A63" s="76"/>
      <c r="B63" s="4"/>
      <c r="C63" s="77"/>
      <c r="D63" s="77"/>
      <c r="E63" s="77"/>
      <c r="F63" s="77"/>
      <c r="G63" s="77"/>
      <c r="H63" s="77"/>
      <c r="I63" s="77"/>
      <c r="J63" s="77"/>
      <c r="K63" s="77"/>
      <c r="L63" s="77"/>
      <c r="N63" s="78"/>
    </row>
  </sheetData>
  <sheetProtection algorithmName="SHA-512" hashValue="Nuhh8BzMRa5hoGe5QAaBJGgVAnjcSOR5VPer8Uo1uut5z6Q88G0bXDArpVNLAa/X4ioT0tBuvVuJxM10rKu6JQ==" saltValue="fUfIfbLypgCCPi6/g2mZFg==" spinCount="100000" sheet="1" objects="1" scenarios="1" selectLockedCells="1"/>
  <mergeCells count="21">
    <mergeCell ref="B53:C62"/>
    <mergeCell ref="D53:D62"/>
    <mergeCell ref="E53:L62"/>
    <mergeCell ref="D33:D42"/>
    <mergeCell ref="E33:L42"/>
    <mergeCell ref="B43:C52"/>
    <mergeCell ref="D43:D52"/>
    <mergeCell ref="E43:L52"/>
    <mergeCell ref="B33:C42"/>
    <mergeCell ref="B4:L4"/>
    <mergeCell ref="B5:L5"/>
    <mergeCell ref="B6:L6"/>
    <mergeCell ref="B10:L10"/>
    <mergeCell ref="E12:L12"/>
    <mergeCell ref="B8:L8"/>
    <mergeCell ref="B13:C22"/>
    <mergeCell ref="D13:D22"/>
    <mergeCell ref="E13:L22"/>
    <mergeCell ref="B23:C32"/>
    <mergeCell ref="D23:D32"/>
    <mergeCell ref="E23:L32"/>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3 E33 E43 E53 E13" xr:uid="{4F101CEA-EF13-4032-BE75-F0DF0E44776D}">
      <formula1>1000</formula1>
    </dataValidation>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76"/>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6.44140625" style="9" customWidth="1"/>
    <col min="14" max="14" width="9.44140625" style="10" customWidth="1"/>
    <col min="15" max="15" width="12.5546875" style="10" hidden="1" customWidth="1"/>
    <col min="16" max="16" width="8.5546875" style="10" hidden="1" customWidth="1"/>
    <col min="17" max="17" width="9.44140625" style="10" customWidth="1"/>
    <col min="18" max="16384" width="9.44140625" style="10"/>
  </cols>
  <sheetData>
    <row r="1" spans="1:16" x14ac:dyDescent="0.3">
      <c r="O1" s="10" t="s">
        <v>481</v>
      </c>
      <c r="P1" s="10" t="s">
        <v>481</v>
      </c>
    </row>
    <row r="2" spans="1:16" x14ac:dyDescent="0.3">
      <c r="B2" s="12" t="str">
        <f>IF(Intro!$G$20="English",O3,P3)</f>
        <v>PROTECTED</v>
      </c>
      <c r="C2" s="12"/>
      <c r="D2" s="12"/>
      <c r="O2" s="197" t="s">
        <v>93</v>
      </c>
      <c r="P2" s="197" t="s">
        <v>109</v>
      </c>
    </row>
    <row r="3" spans="1:16" x14ac:dyDescent="0.3">
      <c r="B3" s="13"/>
      <c r="C3" s="13"/>
      <c r="D3" s="13"/>
      <c r="O3" s="107" t="s">
        <v>329</v>
      </c>
      <c r="P3" s="107" t="s">
        <v>330</v>
      </c>
    </row>
    <row r="4" spans="1:16" s="2" customFormat="1" x14ac:dyDescent="0.3">
      <c r="A4" s="4"/>
      <c r="B4" s="588" t="str">
        <f>Info!B4</f>
        <v>IMPORTERS' QUESTIONNAIRE</v>
      </c>
      <c r="C4" s="589"/>
      <c r="D4" s="589"/>
      <c r="E4" s="589"/>
      <c r="F4" s="589"/>
      <c r="G4" s="589"/>
      <c r="H4" s="589"/>
      <c r="I4" s="589"/>
      <c r="J4" s="589"/>
      <c r="K4" s="589"/>
      <c r="L4" s="590"/>
      <c r="M4" s="25"/>
      <c r="N4" s="25"/>
      <c r="O4" s="19"/>
      <c r="P4" s="19"/>
    </row>
    <row r="5" spans="1:16" s="2" customFormat="1" x14ac:dyDescent="0.3">
      <c r="A5" s="4"/>
      <c r="B5" s="630" t="str">
        <f>Info!B5</f>
        <v>NQ-2026-002</v>
      </c>
      <c r="C5" s="631"/>
      <c r="D5" s="631"/>
      <c r="E5" s="631"/>
      <c r="F5" s="631"/>
      <c r="G5" s="631"/>
      <c r="H5" s="631"/>
      <c r="I5" s="631"/>
      <c r="J5" s="631"/>
      <c r="K5" s="631"/>
      <c r="L5" s="632"/>
      <c r="M5" s="25"/>
      <c r="N5" s="25"/>
      <c r="O5" s="19"/>
      <c r="P5" s="19"/>
    </row>
    <row r="6" spans="1:16" s="6" customFormat="1" x14ac:dyDescent="0.3">
      <c r="A6" s="4"/>
      <c r="B6" s="630" t="str">
        <f>Info!B6</f>
        <v>FORGED GRINDING MEDIA</v>
      </c>
      <c r="C6" s="631"/>
      <c r="D6" s="631"/>
      <c r="E6" s="631"/>
      <c r="F6" s="631"/>
      <c r="G6" s="631"/>
      <c r="H6" s="631"/>
      <c r="I6" s="631"/>
      <c r="J6" s="631"/>
      <c r="K6" s="631"/>
      <c r="L6" s="632"/>
      <c r="M6" s="19"/>
      <c r="N6" s="19"/>
      <c r="O6" s="15"/>
      <c r="P6" s="15"/>
    </row>
    <row r="7" spans="1:16" s="6" customFormat="1" x14ac:dyDescent="0.3">
      <c r="A7" s="4"/>
      <c r="B7" s="161"/>
      <c r="C7" s="162"/>
      <c r="D7" s="162"/>
      <c r="E7" s="162"/>
      <c r="F7" s="162"/>
      <c r="G7" s="162"/>
      <c r="H7" s="162"/>
      <c r="I7" s="162"/>
      <c r="J7" s="162"/>
      <c r="K7" s="162"/>
      <c r="L7" s="163"/>
      <c r="M7" s="19"/>
      <c r="N7" s="19"/>
      <c r="O7" s="20"/>
    </row>
    <row r="8" spans="1:16" s="6" customFormat="1" x14ac:dyDescent="0.3">
      <c r="A8" s="4"/>
      <c r="B8" s="633" t="str">
        <f>Public!B8</f>
        <v>The following questions refer to the goods as defined in the product description on the Intro tab.</v>
      </c>
      <c r="C8" s="634"/>
      <c r="D8" s="634"/>
      <c r="E8" s="634"/>
      <c r="F8" s="634"/>
      <c r="G8" s="634"/>
      <c r="H8" s="634"/>
      <c r="I8" s="634"/>
      <c r="J8" s="634"/>
      <c r="K8" s="634"/>
      <c r="L8" s="635"/>
      <c r="M8" s="19"/>
      <c r="N8" s="19"/>
      <c r="O8" s="15"/>
      <c r="P8" s="15"/>
    </row>
    <row r="9" spans="1:16" s="6" customFormat="1" ht="14.1" customHeight="1" x14ac:dyDescent="0.3">
      <c r="A9" s="4"/>
      <c r="B9" s="633" t="str">
        <f>Public!B9</f>
        <v xml:space="preserve">Product information and a glossary of terms can be found in the Info tab.
</v>
      </c>
      <c r="C9" s="634"/>
      <c r="D9" s="634"/>
      <c r="E9" s="634"/>
      <c r="F9" s="634"/>
      <c r="G9" s="634"/>
      <c r="H9" s="634"/>
      <c r="I9" s="634"/>
      <c r="J9" s="634"/>
      <c r="K9" s="634"/>
      <c r="L9" s="635"/>
      <c r="M9" s="19"/>
      <c r="N9" s="19"/>
      <c r="O9" s="15"/>
    </row>
    <row r="10" spans="1:16" s="6" customFormat="1" ht="14.1" customHeight="1" x14ac:dyDescent="0.3">
      <c r="A10" s="4"/>
      <c r="B10" s="633" t="str">
        <f>IF(Intro!$G$20="English",O10,P10)</f>
        <v xml:space="preserve">Use the AddPro tab if more space is needed.
</v>
      </c>
      <c r="C10" s="634"/>
      <c r="D10" s="634"/>
      <c r="E10" s="634"/>
      <c r="F10" s="634"/>
      <c r="G10" s="634"/>
      <c r="H10" s="634"/>
      <c r="I10" s="634"/>
      <c r="J10" s="634"/>
      <c r="K10" s="634"/>
      <c r="L10" s="635"/>
      <c r="M10" s="19"/>
      <c r="N10" s="19"/>
      <c r="O10" s="15" t="s">
        <v>141</v>
      </c>
      <c r="P10" s="15" t="str">
        <f>"Utilisez l'onglet AddPro si vous avez besoin de plus d'espace."&amp;CHAR(10)</f>
        <v xml:space="preserve">Utilisez l'onglet AddPro si vous avez besoin de plus d'espace.
</v>
      </c>
    </row>
    <row r="11" spans="1:16" s="6" customFormat="1" x14ac:dyDescent="0.3">
      <c r="A11" s="4"/>
      <c r="B11" s="633"/>
      <c r="C11" s="634"/>
      <c r="D11" s="634"/>
      <c r="E11" s="634"/>
      <c r="F11" s="634"/>
      <c r="G11" s="634"/>
      <c r="H11" s="634"/>
      <c r="I11" s="634"/>
      <c r="J11" s="634"/>
      <c r="K11" s="634"/>
      <c r="L11" s="635"/>
      <c r="M11" s="19"/>
      <c r="N11" s="19"/>
      <c r="O11" s="15"/>
      <c r="P11" s="15"/>
    </row>
    <row r="12" spans="1:16" s="6" customFormat="1" x14ac:dyDescent="0.3">
      <c r="A12" s="4"/>
      <c r="B12" s="633" t="str">
        <f>IF(Intro!$G$20="English",O12,P12)</f>
        <v>For the questions in this tab, note the following:</v>
      </c>
      <c r="C12" s="634"/>
      <c r="D12" s="634"/>
      <c r="E12" s="634"/>
      <c r="F12" s="634"/>
      <c r="G12" s="634"/>
      <c r="H12" s="634"/>
      <c r="I12" s="634"/>
      <c r="J12" s="634"/>
      <c r="K12" s="634"/>
      <c r="L12" s="635"/>
      <c r="M12" s="19"/>
      <c r="N12" s="19"/>
      <c r="O12" s="15" t="s">
        <v>142</v>
      </c>
      <c r="P12" s="15" t="s">
        <v>143</v>
      </c>
    </row>
    <row r="13" spans="1:16" s="6" customFormat="1" ht="14.1" customHeight="1" x14ac:dyDescent="0.3">
      <c r="A13" s="4"/>
      <c r="B13" s="725" t="str">
        <f>IF(Intro!$G$20="English",O13,P13)</f>
        <v>• Report only sales from your firm’s imports. Sales of goods purchased from Canadian producers must be excluded.</v>
      </c>
      <c r="C13" s="726"/>
      <c r="D13" s="726"/>
      <c r="E13" s="726"/>
      <c r="F13" s="726"/>
      <c r="G13" s="726"/>
      <c r="H13" s="726"/>
      <c r="I13" s="726"/>
      <c r="J13" s="726"/>
      <c r="K13" s="726"/>
      <c r="L13" s="727"/>
      <c r="M13" s="19"/>
      <c r="N13" s="19"/>
      <c r="O13" s="15" t="s">
        <v>361</v>
      </c>
      <c r="P13" s="15" t="s">
        <v>260</v>
      </c>
    </row>
    <row r="14" spans="1:16" s="6" customFormat="1" x14ac:dyDescent="0.3">
      <c r="A14" s="4"/>
      <c r="B14" s="633" t="str">
        <f>IF(Intro!$G$20="English",O14,P14)</f>
        <v>• Report all sales to Canadian and foreign associated firms.</v>
      </c>
      <c r="C14" s="634"/>
      <c r="D14" s="634"/>
      <c r="E14" s="634"/>
      <c r="F14" s="634"/>
      <c r="G14" s="634"/>
      <c r="H14" s="634"/>
      <c r="I14" s="634"/>
      <c r="J14" s="634"/>
      <c r="K14" s="634"/>
      <c r="L14" s="635"/>
      <c r="M14" s="19"/>
      <c r="N14" s="19"/>
      <c r="O14" s="15" t="s">
        <v>257</v>
      </c>
      <c r="P14" s="15" t="s">
        <v>261</v>
      </c>
    </row>
    <row r="15" spans="1:16" s="6" customFormat="1" x14ac:dyDescent="0.3">
      <c r="A15" s="4"/>
      <c r="B15" s="633" t="str">
        <f>IF(Intro!$G$20="English",O15,P15)</f>
        <v>• Report all sales as of the date of shipment to the customer or the customer’s warehouse.</v>
      </c>
      <c r="C15" s="634"/>
      <c r="D15" s="634"/>
      <c r="E15" s="634"/>
      <c r="F15" s="634"/>
      <c r="G15" s="634"/>
      <c r="H15" s="634"/>
      <c r="I15" s="634"/>
      <c r="J15" s="634"/>
      <c r="K15" s="634"/>
      <c r="L15" s="635"/>
      <c r="M15" s="19"/>
      <c r="N15" s="19"/>
      <c r="O15" s="15" t="s">
        <v>258</v>
      </c>
      <c r="P15" s="15" t="s">
        <v>262</v>
      </c>
    </row>
    <row r="16" spans="1:16" s="6" customFormat="1" x14ac:dyDescent="0.3">
      <c r="A16" s="4"/>
      <c r="B16" s="636" t="str">
        <f>IF(Intro!$G$20="English",O16,P16)</f>
        <v>• Report all values in Canadian dollars.</v>
      </c>
      <c r="C16" s="637"/>
      <c r="D16" s="637"/>
      <c r="E16" s="637"/>
      <c r="F16" s="637"/>
      <c r="G16" s="637"/>
      <c r="H16" s="637"/>
      <c r="I16" s="637"/>
      <c r="J16" s="637"/>
      <c r="K16" s="637"/>
      <c r="L16" s="638"/>
      <c r="M16" s="19"/>
      <c r="N16" s="19"/>
      <c r="O16" s="15" t="s">
        <v>259</v>
      </c>
      <c r="P16" s="15" t="s">
        <v>263</v>
      </c>
    </row>
    <row r="17" spans="1:17" s="6" customFormat="1" x14ac:dyDescent="0.3">
      <c r="A17" s="4"/>
      <c r="B17" s="14"/>
      <c r="C17" s="14"/>
      <c r="D17" s="14"/>
      <c r="E17" s="3"/>
      <c r="F17" s="3"/>
      <c r="G17" s="3"/>
      <c r="H17" s="3"/>
      <c r="I17" s="3"/>
      <c r="J17" s="3"/>
      <c r="K17" s="3"/>
      <c r="L17" s="3"/>
      <c r="O17" s="15"/>
      <c r="P17" s="15"/>
    </row>
    <row r="18" spans="1:17" x14ac:dyDescent="0.3">
      <c r="A18" s="7"/>
      <c r="B18" s="506" t="str">
        <f>UPPER(IF(Intro!$G$20="English",O18,P18))</f>
        <v>SALES</v>
      </c>
      <c r="C18" s="507"/>
      <c r="D18" s="507"/>
      <c r="E18" s="507"/>
      <c r="F18" s="507"/>
      <c r="G18" s="507"/>
      <c r="H18" s="507"/>
      <c r="I18" s="507"/>
      <c r="J18" s="507"/>
      <c r="K18" s="507"/>
      <c r="L18" s="508"/>
      <c r="M18" s="10"/>
      <c r="O18" s="10" t="s">
        <v>126</v>
      </c>
      <c r="P18" s="10" t="s">
        <v>127</v>
      </c>
    </row>
    <row r="19" spans="1:17" x14ac:dyDescent="0.3">
      <c r="A19" s="7"/>
      <c r="B19" s="647" t="s">
        <v>12</v>
      </c>
      <c r="C19" s="648"/>
      <c r="D19" s="648"/>
      <c r="E19" s="648"/>
      <c r="F19" s="648"/>
      <c r="G19" s="648"/>
      <c r="H19" s="648"/>
      <c r="I19" s="648"/>
      <c r="J19" s="648"/>
      <c r="K19" s="648"/>
      <c r="L19" s="649"/>
      <c r="M19" s="10"/>
    </row>
    <row r="20" spans="1:17" x14ac:dyDescent="0.3">
      <c r="A20" s="7"/>
      <c r="B20" s="74"/>
      <c r="C20" s="75"/>
      <c r="D20" s="75"/>
      <c r="E20" s="75"/>
      <c r="F20" s="75"/>
      <c r="G20" s="75"/>
      <c r="H20" s="75"/>
      <c r="I20" s="75"/>
      <c r="J20" s="75"/>
      <c r="K20" s="75"/>
      <c r="L20" s="58"/>
      <c r="M20" s="10"/>
    </row>
    <row r="21" spans="1:17" x14ac:dyDescent="0.3">
      <c r="A21" s="7"/>
      <c r="B21" s="503" t="str">
        <f>IF(Intro!$G$20="English",O21,P21)</f>
        <v>Describe the method used to value your firm's sales to Canadian or foreign associated firms.</v>
      </c>
      <c r="C21" s="504"/>
      <c r="D21" s="504"/>
      <c r="E21" s="504"/>
      <c r="F21" s="504"/>
      <c r="G21" s="504"/>
      <c r="H21" s="504"/>
      <c r="I21" s="504"/>
      <c r="J21" s="504"/>
      <c r="K21" s="504"/>
      <c r="L21" s="505"/>
      <c r="M21" s="10"/>
      <c r="O21" s="10" t="s">
        <v>86</v>
      </c>
      <c r="P21" s="28" t="s">
        <v>87</v>
      </c>
    </row>
    <row r="22" spans="1:17" x14ac:dyDescent="0.3">
      <c r="A22" s="7"/>
      <c r="B22" s="503" t="str">
        <f>IF(Intro!$G$20="English",O22,P22)</f>
        <v>Note - Only complete this question if your firm sold the goods between January 1, 2023, and March 31, 2026.</v>
      </c>
      <c r="C22" s="504"/>
      <c r="D22" s="504"/>
      <c r="E22" s="504"/>
      <c r="F22" s="504"/>
      <c r="G22" s="504"/>
      <c r="H22" s="504"/>
      <c r="I22" s="504"/>
      <c r="J22" s="504"/>
      <c r="K22" s="504"/>
      <c r="L22" s="505"/>
      <c r="M22" s="10"/>
      <c r="O22" s="18" t="str">
        <f>"Note - Only complete this question if your firm sold the goods between January 1, "&amp;Variables!B6&amp;", and "&amp;Variables!B7&amp;", "&amp;Variables!B8&amp;"."</f>
        <v>Note - Only complete this question if your firm sold the goods between January 1, 2023, and March 31, 2026.</v>
      </c>
      <c r="P22" s="10"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23" spans="1:17" x14ac:dyDescent="0.3">
      <c r="A23" s="7"/>
      <c r="B23" s="74"/>
      <c r="C23" s="75"/>
      <c r="D23" s="75"/>
      <c r="E23" s="75"/>
      <c r="F23" s="75"/>
      <c r="G23" s="75"/>
      <c r="H23" s="75"/>
      <c r="I23" s="75"/>
      <c r="J23" s="75"/>
      <c r="K23" s="75"/>
      <c r="L23" s="58"/>
      <c r="M23" s="10"/>
    </row>
    <row r="24" spans="1:17" s="11" customFormat="1" x14ac:dyDescent="0.3">
      <c r="A24" s="8"/>
      <c r="B24" s="639"/>
      <c r="C24" s="640"/>
      <c r="D24" s="640"/>
      <c r="E24" s="640"/>
      <c r="F24" s="640"/>
      <c r="G24" s="640"/>
      <c r="H24" s="640"/>
      <c r="I24" s="640"/>
      <c r="J24" s="640"/>
      <c r="K24" s="640"/>
      <c r="L24" s="641"/>
      <c r="M24" s="38"/>
      <c r="Q24" s="10"/>
    </row>
    <row r="25" spans="1:17" s="11" customFormat="1" x14ac:dyDescent="0.3">
      <c r="A25" s="8"/>
      <c r="B25" s="639"/>
      <c r="C25" s="640"/>
      <c r="D25" s="640"/>
      <c r="E25" s="640"/>
      <c r="F25" s="640"/>
      <c r="G25" s="640"/>
      <c r="H25" s="640"/>
      <c r="I25" s="640"/>
      <c r="J25" s="640"/>
      <c r="K25" s="640"/>
      <c r="L25" s="641"/>
      <c r="M25" s="38"/>
      <c r="Q25" s="10"/>
    </row>
    <row r="26" spans="1:17" s="11" customFormat="1" x14ac:dyDescent="0.3">
      <c r="A26" s="8"/>
      <c r="B26" s="639"/>
      <c r="C26" s="640"/>
      <c r="D26" s="640"/>
      <c r="E26" s="640"/>
      <c r="F26" s="640"/>
      <c r="G26" s="640"/>
      <c r="H26" s="640"/>
      <c r="I26" s="640"/>
      <c r="J26" s="640"/>
      <c r="K26" s="640"/>
      <c r="L26" s="641"/>
      <c r="M26" s="38"/>
      <c r="Q26" s="10"/>
    </row>
    <row r="27" spans="1:17" s="11" customFormat="1" x14ac:dyDescent="0.3">
      <c r="A27" s="8"/>
      <c r="B27" s="639"/>
      <c r="C27" s="640"/>
      <c r="D27" s="640"/>
      <c r="E27" s="640"/>
      <c r="F27" s="640"/>
      <c r="G27" s="640"/>
      <c r="H27" s="640"/>
      <c r="I27" s="640"/>
      <c r="J27" s="640"/>
      <c r="K27" s="640"/>
      <c r="L27" s="641"/>
      <c r="M27" s="38"/>
      <c r="Q27" s="10"/>
    </row>
    <row r="28" spans="1:17" s="11" customFormat="1" x14ac:dyDescent="0.3">
      <c r="A28" s="8"/>
      <c r="B28" s="639"/>
      <c r="C28" s="640"/>
      <c r="D28" s="640"/>
      <c r="E28" s="640"/>
      <c r="F28" s="640"/>
      <c r="G28" s="640"/>
      <c r="H28" s="640"/>
      <c r="I28" s="640"/>
      <c r="J28" s="640"/>
      <c r="K28" s="640"/>
      <c r="L28" s="641"/>
      <c r="M28" s="38"/>
      <c r="Q28" s="10"/>
    </row>
    <row r="29" spans="1:17" s="11" customFormat="1" x14ac:dyDescent="0.3">
      <c r="A29" s="8"/>
      <c r="B29" s="639"/>
      <c r="C29" s="640"/>
      <c r="D29" s="640"/>
      <c r="E29" s="640"/>
      <c r="F29" s="640"/>
      <c r="G29" s="640"/>
      <c r="H29" s="640"/>
      <c r="I29" s="640"/>
      <c r="J29" s="640"/>
      <c r="K29" s="640"/>
      <c r="L29" s="641"/>
      <c r="M29" s="38"/>
      <c r="Q29" s="10"/>
    </row>
    <row r="30" spans="1:17" s="11" customFormat="1" x14ac:dyDescent="0.3">
      <c r="A30" s="8"/>
      <c r="B30" s="639"/>
      <c r="C30" s="640"/>
      <c r="D30" s="640"/>
      <c r="E30" s="640"/>
      <c r="F30" s="640"/>
      <c r="G30" s="640"/>
      <c r="H30" s="640"/>
      <c r="I30" s="640"/>
      <c r="J30" s="640"/>
      <c r="K30" s="640"/>
      <c r="L30" s="641"/>
      <c r="M30" s="38"/>
      <c r="Q30" s="10"/>
    </row>
    <row r="31" spans="1:17" s="11" customFormat="1" x14ac:dyDescent="0.3">
      <c r="A31" s="8"/>
      <c r="B31" s="639"/>
      <c r="C31" s="640"/>
      <c r="D31" s="640"/>
      <c r="E31" s="640"/>
      <c r="F31" s="640"/>
      <c r="G31" s="640"/>
      <c r="H31" s="640"/>
      <c r="I31" s="640"/>
      <c r="J31" s="640"/>
      <c r="K31" s="640"/>
      <c r="L31" s="641"/>
      <c r="M31" s="38"/>
      <c r="Q31" s="10"/>
    </row>
    <row r="32" spans="1:17" x14ac:dyDescent="0.3">
      <c r="A32" s="7"/>
      <c r="B32" s="72"/>
      <c r="C32" s="69"/>
      <c r="D32" s="69"/>
      <c r="E32" s="69"/>
      <c r="F32" s="69"/>
      <c r="G32" s="69"/>
      <c r="H32" s="69"/>
      <c r="I32" s="69"/>
      <c r="J32" s="69"/>
      <c r="K32" s="69"/>
      <c r="L32" s="70"/>
      <c r="M32" s="10"/>
    </row>
    <row r="33" spans="1:19" s="11" customFormat="1" x14ac:dyDescent="0.3">
      <c r="A33" s="7"/>
      <c r="B33" s="650" t="s">
        <v>15</v>
      </c>
      <c r="C33" s="651"/>
      <c r="D33" s="651"/>
      <c r="E33" s="651"/>
      <c r="F33" s="651"/>
      <c r="G33" s="651"/>
      <c r="H33" s="651"/>
      <c r="I33" s="651"/>
      <c r="J33" s="651"/>
      <c r="K33" s="651"/>
      <c r="L33" s="652"/>
      <c r="M33" s="73"/>
    </row>
    <row r="34" spans="1:19" x14ac:dyDescent="0.3">
      <c r="A34" s="7"/>
      <c r="B34" s="74"/>
      <c r="C34" s="75"/>
      <c r="D34" s="75"/>
      <c r="E34" s="75"/>
      <c r="F34" s="75"/>
      <c r="G34" s="75"/>
      <c r="H34" s="75"/>
      <c r="I34" s="75"/>
      <c r="J34" s="75"/>
      <c r="K34" s="75"/>
      <c r="L34" s="58"/>
      <c r="M34" s="10"/>
    </row>
    <row r="35" spans="1:19" ht="14.1" customHeight="1" x14ac:dyDescent="0.3">
      <c r="A35" s="7"/>
      <c r="B35" s="503" t="str">
        <f>IF(Intro!$G$20="English",O35,P35)</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35" s="504"/>
      <c r="D35" s="504"/>
      <c r="E35" s="504"/>
      <c r="F35" s="504"/>
      <c r="G35" s="504"/>
      <c r="H35" s="504"/>
      <c r="I35" s="504"/>
      <c r="J35" s="504"/>
      <c r="K35" s="504"/>
      <c r="L35" s="505"/>
      <c r="M35" s="10"/>
      <c r="O35" s="10"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5" s="10"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5" s="38"/>
      <c r="R35" s="38"/>
      <c r="S35" s="38"/>
    </row>
    <row r="36" spans="1:19" x14ac:dyDescent="0.3">
      <c r="A36" s="7"/>
      <c r="B36" s="503"/>
      <c r="C36" s="504"/>
      <c r="D36" s="504"/>
      <c r="E36" s="504"/>
      <c r="F36" s="504"/>
      <c r="G36" s="504"/>
      <c r="H36" s="504"/>
      <c r="I36" s="504"/>
      <c r="J36" s="504"/>
      <c r="K36" s="504"/>
      <c r="L36" s="505"/>
      <c r="M36" s="10"/>
      <c r="Q36" s="38"/>
      <c r="R36" s="38"/>
      <c r="S36" s="38"/>
    </row>
    <row r="37" spans="1:19" x14ac:dyDescent="0.3">
      <c r="A37" s="7"/>
      <c r="B37" s="503"/>
      <c r="C37" s="504"/>
      <c r="D37" s="504"/>
      <c r="E37" s="504"/>
      <c r="F37" s="504"/>
      <c r="G37" s="504"/>
      <c r="H37" s="504"/>
      <c r="I37" s="504"/>
      <c r="J37" s="504"/>
      <c r="K37" s="504"/>
      <c r="L37" s="505"/>
      <c r="M37" s="10"/>
      <c r="Q37" s="38"/>
      <c r="R37" s="38"/>
      <c r="S37" s="38"/>
    </row>
    <row r="38" spans="1:19" x14ac:dyDescent="0.3">
      <c r="A38" s="7"/>
      <c r="B38" s="503" t="str">
        <f>B22</f>
        <v>Note - Only complete this question if your firm sold the goods between January 1, 2023, and March 31, 2026.</v>
      </c>
      <c r="C38" s="504"/>
      <c r="D38" s="504"/>
      <c r="E38" s="504"/>
      <c r="F38" s="504"/>
      <c r="G38" s="504"/>
      <c r="H38" s="504"/>
      <c r="I38" s="504"/>
      <c r="J38" s="504"/>
      <c r="K38" s="504"/>
      <c r="L38" s="505"/>
      <c r="M38" s="10"/>
      <c r="O38" s="18"/>
    </row>
    <row r="39" spans="1:19" x14ac:dyDescent="0.3">
      <c r="A39" s="7"/>
      <c r="B39" s="74"/>
      <c r="C39" s="75"/>
      <c r="D39" s="75"/>
      <c r="E39" s="75"/>
      <c r="F39" s="75"/>
      <c r="G39" s="75"/>
      <c r="H39" s="75"/>
      <c r="I39" s="75"/>
      <c r="J39" s="75"/>
      <c r="K39" s="75"/>
      <c r="L39" s="58"/>
      <c r="M39" s="10"/>
    </row>
    <row r="40" spans="1:19" s="11" customFormat="1" x14ac:dyDescent="0.3">
      <c r="A40" s="8"/>
      <c r="B40" s="639"/>
      <c r="C40" s="640"/>
      <c r="D40" s="640"/>
      <c r="E40" s="640"/>
      <c r="F40" s="640"/>
      <c r="G40" s="640"/>
      <c r="H40" s="640"/>
      <c r="I40" s="640"/>
      <c r="J40" s="640"/>
      <c r="K40" s="640"/>
      <c r="L40" s="641"/>
      <c r="M40" s="38"/>
      <c r="Q40" s="10"/>
    </row>
    <row r="41" spans="1:19" s="11" customFormat="1" x14ac:dyDescent="0.3">
      <c r="A41" s="8"/>
      <c r="B41" s="639"/>
      <c r="C41" s="640"/>
      <c r="D41" s="640"/>
      <c r="E41" s="640"/>
      <c r="F41" s="640"/>
      <c r="G41" s="640"/>
      <c r="H41" s="640"/>
      <c r="I41" s="640"/>
      <c r="J41" s="640"/>
      <c r="K41" s="640"/>
      <c r="L41" s="641"/>
      <c r="M41" s="38"/>
      <c r="Q41" s="10"/>
    </row>
    <row r="42" spans="1:19" s="11" customFormat="1" x14ac:dyDescent="0.3">
      <c r="A42" s="8"/>
      <c r="B42" s="639"/>
      <c r="C42" s="640"/>
      <c r="D42" s="640"/>
      <c r="E42" s="640"/>
      <c r="F42" s="640"/>
      <c r="G42" s="640"/>
      <c r="H42" s="640"/>
      <c r="I42" s="640"/>
      <c r="J42" s="640"/>
      <c r="K42" s="640"/>
      <c r="L42" s="641"/>
      <c r="M42" s="38"/>
      <c r="Q42" s="10"/>
    </row>
    <row r="43" spans="1:19" s="11" customFormat="1" x14ac:dyDescent="0.3">
      <c r="A43" s="8"/>
      <c r="B43" s="639"/>
      <c r="C43" s="640"/>
      <c r="D43" s="640"/>
      <c r="E43" s="640"/>
      <c r="F43" s="640"/>
      <c r="G43" s="640"/>
      <c r="H43" s="640"/>
      <c r="I43" s="640"/>
      <c r="J43" s="640"/>
      <c r="K43" s="640"/>
      <c r="L43" s="641"/>
      <c r="M43" s="38"/>
      <c r="Q43" s="10"/>
    </row>
    <row r="44" spans="1:19" s="11" customFormat="1" x14ac:dyDescent="0.3">
      <c r="A44" s="8"/>
      <c r="B44" s="639"/>
      <c r="C44" s="640"/>
      <c r="D44" s="640"/>
      <c r="E44" s="640"/>
      <c r="F44" s="640"/>
      <c r="G44" s="640"/>
      <c r="H44" s="640"/>
      <c r="I44" s="640"/>
      <c r="J44" s="640"/>
      <c r="K44" s="640"/>
      <c r="L44" s="641"/>
      <c r="M44" s="38"/>
      <c r="Q44" s="10"/>
    </row>
    <row r="45" spans="1:19" s="11" customFormat="1" x14ac:dyDescent="0.3">
      <c r="A45" s="8"/>
      <c r="B45" s="639"/>
      <c r="C45" s="640"/>
      <c r="D45" s="640"/>
      <c r="E45" s="640"/>
      <c r="F45" s="640"/>
      <c r="G45" s="640"/>
      <c r="H45" s="640"/>
      <c r="I45" s="640"/>
      <c r="J45" s="640"/>
      <c r="K45" s="640"/>
      <c r="L45" s="641"/>
      <c r="M45" s="38"/>
      <c r="Q45" s="10"/>
    </row>
    <row r="46" spans="1:19" s="11" customFormat="1" x14ac:dyDescent="0.3">
      <c r="A46" s="8"/>
      <c r="B46" s="639"/>
      <c r="C46" s="640"/>
      <c r="D46" s="640"/>
      <c r="E46" s="640"/>
      <c r="F46" s="640"/>
      <c r="G46" s="640"/>
      <c r="H46" s="640"/>
      <c r="I46" s="640"/>
      <c r="J46" s="640"/>
      <c r="K46" s="640"/>
      <c r="L46" s="641"/>
      <c r="M46" s="38"/>
      <c r="Q46" s="10"/>
    </row>
    <row r="47" spans="1:19" s="11" customFormat="1" x14ac:dyDescent="0.3">
      <c r="A47" s="8"/>
      <c r="B47" s="639"/>
      <c r="C47" s="640"/>
      <c r="D47" s="640"/>
      <c r="E47" s="640"/>
      <c r="F47" s="640"/>
      <c r="G47" s="640"/>
      <c r="H47" s="640"/>
      <c r="I47" s="640"/>
      <c r="J47" s="640"/>
      <c r="K47" s="640"/>
      <c r="L47" s="641"/>
      <c r="M47" s="38"/>
      <c r="Q47" s="10"/>
    </row>
    <row r="48" spans="1:19" x14ac:dyDescent="0.3">
      <c r="A48" s="7"/>
      <c r="B48" s="72"/>
      <c r="C48" s="69"/>
      <c r="D48" s="69"/>
      <c r="E48" s="69"/>
      <c r="F48" s="69"/>
      <c r="G48" s="69"/>
      <c r="H48" s="69"/>
      <c r="I48" s="69"/>
      <c r="J48" s="69"/>
      <c r="K48" s="69"/>
      <c r="L48" s="70"/>
      <c r="M48" s="10"/>
    </row>
    <row r="49" spans="1:17" s="11" customFormat="1" x14ac:dyDescent="0.3">
      <c r="A49" s="7"/>
      <c r="B49" s="650" t="s">
        <v>16</v>
      </c>
      <c r="C49" s="651"/>
      <c r="D49" s="651"/>
      <c r="E49" s="651"/>
      <c r="F49" s="651"/>
      <c r="G49" s="651"/>
      <c r="H49" s="651"/>
      <c r="I49" s="651"/>
      <c r="J49" s="651"/>
      <c r="K49" s="651"/>
      <c r="L49" s="652"/>
      <c r="M49" s="73"/>
    </row>
    <row r="50" spans="1:17" x14ac:dyDescent="0.3">
      <c r="A50" s="7"/>
      <c r="B50" s="74"/>
      <c r="C50" s="75"/>
      <c r="D50" s="75"/>
      <c r="E50" s="75"/>
      <c r="F50" s="75"/>
      <c r="G50" s="75"/>
      <c r="H50" s="75"/>
      <c r="I50" s="75"/>
      <c r="J50" s="75"/>
      <c r="K50" s="75"/>
      <c r="L50" s="58"/>
      <c r="M50" s="10"/>
    </row>
    <row r="51" spans="1:17" x14ac:dyDescent="0.3">
      <c r="A51" s="7"/>
      <c r="B51" s="625" t="str">
        <f>IF(Intro!$G$20="English",O51,P51)</f>
        <v>Provide the proportion of your import net delivered selling value that is represented by delivery costs.</v>
      </c>
      <c r="C51" s="626"/>
      <c r="D51" s="626"/>
      <c r="E51" s="626"/>
      <c r="F51" s="626"/>
      <c r="G51" s="626"/>
      <c r="H51" s="626"/>
      <c r="I51" s="626"/>
      <c r="J51" s="626"/>
      <c r="K51" s="626"/>
      <c r="L51" s="627"/>
      <c r="M51" s="10"/>
      <c r="O51" s="10" t="s">
        <v>482</v>
      </c>
      <c r="P51" s="158" t="s">
        <v>483</v>
      </c>
    </row>
    <row r="52" spans="1:17" x14ac:dyDescent="0.3">
      <c r="A52" s="7"/>
      <c r="B52" s="503" t="str">
        <f>B22</f>
        <v>Note - Only complete this question if your firm sold the goods between January 1, 2023, and March 31, 2026.</v>
      </c>
      <c r="C52" s="504"/>
      <c r="D52" s="504"/>
      <c r="E52" s="504"/>
      <c r="F52" s="504"/>
      <c r="G52" s="504"/>
      <c r="H52" s="504"/>
      <c r="I52" s="504"/>
      <c r="J52" s="504"/>
      <c r="K52" s="504"/>
      <c r="L52" s="505"/>
      <c r="M52" s="10"/>
      <c r="O52" s="18"/>
    </row>
    <row r="53" spans="1:17" x14ac:dyDescent="0.3">
      <c r="A53" s="7"/>
      <c r="B53" s="74"/>
      <c r="C53" s="75"/>
      <c r="D53" s="75"/>
      <c r="E53" s="75"/>
      <c r="F53" s="75"/>
      <c r="G53" s="75"/>
      <c r="H53" s="75"/>
      <c r="I53" s="75"/>
      <c r="J53" s="75"/>
      <c r="K53" s="75"/>
      <c r="L53" s="58"/>
      <c r="M53" s="10"/>
    </row>
    <row r="54" spans="1:17" x14ac:dyDescent="0.3">
      <c r="A54" s="7"/>
      <c r="B54" s="61"/>
      <c r="C54" s="62"/>
      <c r="D54" s="35"/>
      <c r="E54" s="723">
        <f>Variables!$B$6</f>
        <v>2023</v>
      </c>
      <c r="F54" s="723">
        <f>E54+1</f>
        <v>2024</v>
      </c>
      <c r="G54" s="723">
        <f>F54+1</f>
        <v>2025</v>
      </c>
      <c r="H54" s="723" t="str">
        <f>IF(Intro!$G$20="English",Variables!B9,Variables!C9)</f>
        <v>Jan-Mar 2025</v>
      </c>
      <c r="I54" s="723" t="str">
        <f>IF(Intro!$G$20="English",Variables!B10,Variables!C10)</f>
        <v>Jan-Mar 2026</v>
      </c>
      <c r="J54" s="89"/>
      <c r="K54" s="89"/>
      <c r="L54" s="71"/>
      <c r="M54" s="10"/>
      <c r="O54" s="18"/>
    </row>
    <row r="55" spans="1:17" x14ac:dyDescent="0.3">
      <c r="A55" s="7"/>
      <c r="B55" s="115"/>
      <c r="C55" s="116"/>
      <c r="D55" s="35"/>
      <c r="E55" s="724"/>
      <c r="F55" s="724"/>
      <c r="G55" s="724"/>
      <c r="H55" s="724"/>
      <c r="I55" s="724"/>
      <c r="J55" s="89"/>
      <c r="K55" s="89"/>
      <c r="L55" s="71"/>
      <c r="M55" s="10"/>
      <c r="O55" s="18"/>
    </row>
    <row r="56" spans="1:17" x14ac:dyDescent="0.3">
      <c r="A56" s="7"/>
      <c r="B56" s="702" t="str">
        <f>IF(Intro!$G$20="English",O56,P56)</f>
        <v>Delivery Cost</v>
      </c>
      <c r="C56" s="703"/>
      <c r="D56" s="130" t="s">
        <v>123</v>
      </c>
      <c r="E56" s="233"/>
      <c r="F56" s="233"/>
      <c r="G56" s="233"/>
      <c r="H56" s="233"/>
      <c r="I56" s="233"/>
      <c r="J56" s="89"/>
      <c r="K56" s="89"/>
      <c r="L56" s="71"/>
      <c r="M56" s="10"/>
      <c r="O56" s="10" t="s">
        <v>149</v>
      </c>
      <c r="P56" s="10" t="s">
        <v>150</v>
      </c>
    </row>
    <row r="57" spans="1:17" x14ac:dyDescent="0.3">
      <c r="A57" s="7"/>
      <c r="B57" s="74"/>
      <c r="C57" s="75"/>
      <c r="D57" s="75"/>
      <c r="E57" s="75"/>
      <c r="F57" s="75"/>
      <c r="G57" s="75"/>
      <c r="H57" s="75"/>
      <c r="I57" s="75"/>
      <c r="J57" s="75"/>
      <c r="K57" s="75"/>
      <c r="L57" s="58"/>
      <c r="M57" s="10"/>
    </row>
    <row r="58" spans="1:17" x14ac:dyDescent="0.3">
      <c r="A58" s="7"/>
      <c r="B58" s="625" t="str">
        <f>IF(Intro!$G$20="English",O58,P58)</f>
        <v>Explain why the proportion of your import net delivered selling value represented by delivery costs has changed since January 1, 2023.</v>
      </c>
      <c r="C58" s="626"/>
      <c r="D58" s="626"/>
      <c r="E58" s="626"/>
      <c r="F58" s="626"/>
      <c r="G58" s="626"/>
      <c r="H58" s="626"/>
      <c r="I58" s="626"/>
      <c r="J58" s="626"/>
      <c r="K58" s="626"/>
      <c r="L58" s="627"/>
      <c r="M58" s="10"/>
      <c r="O58" s="10" t="str">
        <f>"Explain why the proportion of your import net delivered selling value represented by delivery costs has changed since January 1, "&amp;Variables!B6&amp;"."</f>
        <v>Explain why the proportion of your import net delivered selling value represented by delivery costs has changed since January 1, 2023.</v>
      </c>
      <c r="P58" s="158" t="str">
        <f>"Expliquez pourquoi la proportion de la valeur de vente nette rendue de vos importations représentée par les frais de livraison a changé depuis le 1er janvier "&amp;Variables!B6&amp;"."</f>
        <v>Expliquez pourquoi la proportion de la valeur de vente nette rendue de vos importations représentée par les frais de livraison a changé depuis le 1er janvier 2023.</v>
      </c>
    </row>
    <row r="59" spans="1:17" x14ac:dyDescent="0.3">
      <c r="A59" s="7"/>
      <c r="B59" s="74"/>
      <c r="C59" s="75"/>
      <c r="D59" s="75"/>
      <c r="E59" s="75"/>
      <c r="F59" s="75"/>
      <c r="G59" s="75"/>
      <c r="H59" s="75"/>
      <c r="I59" s="75"/>
      <c r="J59" s="75"/>
      <c r="K59" s="75"/>
      <c r="L59" s="58"/>
      <c r="M59" s="10"/>
    </row>
    <row r="60" spans="1:17" s="11" customFormat="1" x14ac:dyDescent="0.3">
      <c r="A60" s="8"/>
      <c r="B60" s="639"/>
      <c r="C60" s="640"/>
      <c r="D60" s="640"/>
      <c r="E60" s="640"/>
      <c r="F60" s="640"/>
      <c r="G60" s="640"/>
      <c r="H60" s="640"/>
      <c r="I60" s="640"/>
      <c r="J60" s="640"/>
      <c r="K60" s="640"/>
      <c r="L60" s="641"/>
      <c r="M60" s="38"/>
      <c r="Q60" s="10"/>
    </row>
    <row r="61" spans="1:17" s="11" customFormat="1" x14ac:dyDescent="0.3">
      <c r="A61" s="8"/>
      <c r="B61" s="639"/>
      <c r="C61" s="640"/>
      <c r="D61" s="640"/>
      <c r="E61" s="640"/>
      <c r="F61" s="640"/>
      <c r="G61" s="640"/>
      <c r="H61" s="640"/>
      <c r="I61" s="640"/>
      <c r="J61" s="640"/>
      <c r="K61" s="640"/>
      <c r="L61" s="641"/>
      <c r="M61" s="38"/>
      <c r="Q61" s="10"/>
    </row>
    <row r="62" spans="1:17" s="11" customFormat="1" x14ac:dyDescent="0.3">
      <c r="A62" s="8"/>
      <c r="B62" s="639"/>
      <c r="C62" s="640"/>
      <c r="D62" s="640"/>
      <c r="E62" s="640"/>
      <c r="F62" s="640"/>
      <c r="G62" s="640"/>
      <c r="H62" s="640"/>
      <c r="I62" s="640"/>
      <c r="J62" s="640"/>
      <c r="K62" s="640"/>
      <c r="L62" s="641"/>
      <c r="M62" s="38"/>
      <c r="Q62" s="10"/>
    </row>
    <row r="63" spans="1:17" s="11" customFormat="1" x14ac:dyDescent="0.3">
      <c r="A63" s="8"/>
      <c r="B63" s="639"/>
      <c r="C63" s="640"/>
      <c r="D63" s="640"/>
      <c r="E63" s="640"/>
      <c r="F63" s="640"/>
      <c r="G63" s="640"/>
      <c r="H63" s="640"/>
      <c r="I63" s="640"/>
      <c r="J63" s="640"/>
      <c r="K63" s="640"/>
      <c r="L63" s="641"/>
      <c r="M63" s="38"/>
      <c r="Q63" s="10"/>
    </row>
    <row r="64" spans="1:17" s="11" customFormat="1" x14ac:dyDescent="0.3">
      <c r="A64" s="8"/>
      <c r="B64" s="639"/>
      <c r="C64" s="640"/>
      <c r="D64" s="640"/>
      <c r="E64" s="640"/>
      <c r="F64" s="640"/>
      <c r="G64" s="640"/>
      <c r="H64" s="640"/>
      <c r="I64" s="640"/>
      <c r="J64" s="640"/>
      <c r="K64" s="640"/>
      <c r="L64" s="641"/>
      <c r="M64" s="38"/>
      <c r="Q64" s="10"/>
    </row>
    <row r="65" spans="1:19" s="11" customFormat="1" x14ac:dyDescent="0.3">
      <c r="A65" s="8"/>
      <c r="B65" s="639"/>
      <c r="C65" s="640"/>
      <c r="D65" s="640"/>
      <c r="E65" s="640"/>
      <c r="F65" s="640"/>
      <c r="G65" s="640"/>
      <c r="H65" s="640"/>
      <c r="I65" s="640"/>
      <c r="J65" s="640"/>
      <c r="K65" s="640"/>
      <c r="L65" s="641"/>
      <c r="M65" s="38"/>
      <c r="Q65" s="10"/>
    </row>
    <row r="66" spans="1:19" s="11" customFormat="1" x14ac:dyDescent="0.3">
      <c r="A66" s="8"/>
      <c r="B66" s="639"/>
      <c r="C66" s="640"/>
      <c r="D66" s="640"/>
      <c r="E66" s="640"/>
      <c r="F66" s="640"/>
      <c r="G66" s="640"/>
      <c r="H66" s="640"/>
      <c r="I66" s="640"/>
      <c r="J66" s="640"/>
      <c r="K66" s="640"/>
      <c r="L66" s="641"/>
      <c r="M66" s="38"/>
      <c r="Q66" s="10"/>
    </row>
    <row r="67" spans="1:19" s="11" customFormat="1" x14ac:dyDescent="0.3">
      <c r="A67" s="8"/>
      <c r="B67" s="639"/>
      <c r="C67" s="640"/>
      <c r="D67" s="640"/>
      <c r="E67" s="640"/>
      <c r="F67" s="640"/>
      <c r="G67" s="640"/>
      <c r="H67" s="640"/>
      <c r="I67" s="640"/>
      <c r="J67" s="640"/>
      <c r="K67" s="640"/>
      <c r="L67" s="641"/>
      <c r="M67" s="38"/>
      <c r="Q67" s="10"/>
    </row>
    <row r="68" spans="1:19" x14ac:dyDescent="0.3">
      <c r="A68" s="7"/>
      <c r="B68" s="72"/>
      <c r="C68" s="69"/>
      <c r="D68" s="69"/>
      <c r="E68" s="69"/>
      <c r="F68" s="69"/>
      <c r="G68" s="69"/>
      <c r="H68" s="69"/>
      <c r="I68" s="69"/>
      <c r="J68" s="69"/>
      <c r="K68" s="69"/>
      <c r="L68" s="70"/>
      <c r="M68" s="10"/>
    </row>
    <row r="69" spans="1:19" s="11" customFormat="1" x14ac:dyDescent="0.3">
      <c r="A69" s="7"/>
      <c r="B69" s="650" t="s">
        <v>17</v>
      </c>
      <c r="C69" s="651"/>
      <c r="D69" s="651"/>
      <c r="E69" s="651"/>
      <c r="F69" s="651"/>
      <c r="G69" s="651"/>
      <c r="H69" s="651"/>
      <c r="I69" s="651"/>
      <c r="J69" s="651"/>
      <c r="K69" s="651"/>
      <c r="L69" s="652"/>
      <c r="M69" s="73"/>
    </row>
    <row r="70" spans="1:19" x14ac:dyDescent="0.3">
      <c r="A70" s="7"/>
      <c r="B70" s="74"/>
      <c r="C70" s="75"/>
      <c r="D70" s="75"/>
      <c r="E70" s="75"/>
      <c r="F70" s="75"/>
      <c r="G70" s="75"/>
      <c r="H70" s="75"/>
      <c r="I70" s="75"/>
      <c r="J70" s="75"/>
      <c r="K70" s="75"/>
      <c r="L70" s="58"/>
      <c r="M70" s="10"/>
    </row>
    <row r="71" spans="1:19" ht="14.1" customHeight="1" x14ac:dyDescent="0.3">
      <c r="A71" s="7"/>
      <c r="B71" s="730" t="str">
        <f>IF(Intro!$G$20="English",O71,P71)</f>
        <v>Describe the differences between the commercial and structural quality of the goods on both a price and cost basis. If available, please also provide the price lists to demonstrate these differences.</v>
      </c>
      <c r="C71" s="731"/>
      <c r="D71" s="731"/>
      <c r="E71" s="731"/>
      <c r="F71" s="731"/>
      <c r="G71" s="731"/>
      <c r="H71" s="731"/>
      <c r="I71" s="731"/>
      <c r="J71" s="731"/>
      <c r="K71" s="731"/>
      <c r="L71" s="732"/>
      <c r="M71" s="10"/>
      <c r="O71" s="10" t="s">
        <v>276</v>
      </c>
      <c r="P71" s="10" t="s">
        <v>277</v>
      </c>
      <c r="Q71" s="38"/>
      <c r="R71" s="38"/>
      <c r="S71" s="38"/>
    </row>
    <row r="72" spans="1:19" x14ac:dyDescent="0.3">
      <c r="A72" s="7"/>
      <c r="B72" s="730"/>
      <c r="C72" s="731"/>
      <c r="D72" s="731"/>
      <c r="E72" s="731"/>
      <c r="F72" s="731"/>
      <c r="G72" s="731"/>
      <c r="H72" s="731"/>
      <c r="I72" s="731"/>
      <c r="J72" s="731"/>
      <c r="K72" s="731"/>
      <c r="L72" s="732"/>
      <c r="M72" s="10"/>
      <c r="Q72" s="38"/>
      <c r="R72" s="38"/>
      <c r="S72" s="38"/>
    </row>
    <row r="73" spans="1:19" x14ac:dyDescent="0.3">
      <c r="A73" s="7"/>
      <c r="B73" s="74"/>
      <c r="C73" s="75"/>
      <c r="D73" s="75"/>
      <c r="E73" s="75"/>
      <c r="F73" s="75"/>
      <c r="G73" s="75"/>
      <c r="H73" s="75"/>
      <c r="I73" s="75"/>
      <c r="J73" s="75"/>
      <c r="K73" s="75"/>
      <c r="L73" s="58"/>
      <c r="M73" s="10"/>
    </row>
    <row r="74" spans="1:19" s="11" customFormat="1" x14ac:dyDescent="0.3">
      <c r="A74" s="8"/>
      <c r="B74" s="639"/>
      <c r="C74" s="640"/>
      <c r="D74" s="640"/>
      <c r="E74" s="640"/>
      <c r="F74" s="640"/>
      <c r="G74" s="640"/>
      <c r="H74" s="640"/>
      <c r="I74" s="640"/>
      <c r="J74" s="640"/>
      <c r="K74" s="640"/>
      <c r="L74" s="641"/>
      <c r="M74" s="38"/>
      <c r="Q74" s="10"/>
    </row>
    <row r="75" spans="1:19" s="11" customFormat="1" x14ac:dyDescent="0.3">
      <c r="A75" s="8"/>
      <c r="B75" s="639"/>
      <c r="C75" s="640"/>
      <c r="D75" s="640"/>
      <c r="E75" s="640"/>
      <c r="F75" s="640"/>
      <c r="G75" s="640"/>
      <c r="H75" s="640"/>
      <c r="I75" s="640"/>
      <c r="J75" s="640"/>
      <c r="K75" s="640"/>
      <c r="L75" s="641"/>
      <c r="M75" s="38"/>
      <c r="Q75" s="10"/>
    </row>
    <row r="76" spans="1:19" s="11" customFormat="1" x14ac:dyDescent="0.3">
      <c r="A76" s="8"/>
      <c r="B76" s="639"/>
      <c r="C76" s="640"/>
      <c r="D76" s="640"/>
      <c r="E76" s="640"/>
      <c r="F76" s="640"/>
      <c r="G76" s="640"/>
      <c r="H76" s="640"/>
      <c r="I76" s="640"/>
      <c r="J76" s="640"/>
      <c r="K76" s="640"/>
      <c r="L76" s="641"/>
      <c r="M76" s="38"/>
      <c r="Q76" s="10"/>
    </row>
    <row r="77" spans="1:19" s="11" customFormat="1" x14ac:dyDescent="0.3">
      <c r="A77" s="8"/>
      <c r="B77" s="639"/>
      <c r="C77" s="640"/>
      <c r="D77" s="640"/>
      <c r="E77" s="640"/>
      <c r="F77" s="640"/>
      <c r="G77" s="640"/>
      <c r="H77" s="640"/>
      <c r="I77" s="640"/>
      <c r="J77" s="640"/>
      <c r="K77" s="640"/>
      <c r="L77" s="641"/>
      <c r="M77" s="38"/>
      <c r="Q77" s="10"/>
    </row>
    <row r="78" spans="1:19" s="11" customFormat="1" x14ac:dyDescent="0.3">
      <c r="A78" s="8"/>
      <c r="B78" s="639"/>
      <c r="C78" s="640"/>
      <c r="D78" s="640"/>
      <c r="E78" s="640"/>
      <c r="F78" s="640"/>
      <c r="G78" s="640"/>
      <c r="H78" s="640"/>
      <c r="I78" s="640"/>
      <c r="J78" s="640"/>
      <c r="K78" s="640"/>
      <c r="L78" s="641"/>
      <c r="M78" s="38"/>
      <c r="Q78" s="10"/>
    </row>
    <row r="79" spans="1:19" s="11" customFormat="1" x14ac:dyDescent="0.3">
      <c r="A79" s="8"/>
      <c r="B79" s="639"/>
      <c r="C79" s="640"/>
      <c r="D79" s="640"/>
      <c r="E79" s="640"/>
      <c r="F79" s="640"/>
      <c r="G79" s="640"/>
      <c r="H79" s="640"/>
      <c r="I79" s="640"/>
      <c r="J79" s="640"/>
      <c r="K79" s="640"/>
      <c r="L79" s="641"/>
      <c r="M79" s="38"/>
      <c r="Q79" s="10"/>
    </row>
    <row r="80" spans="1:19" s="11" customFormat="1" x14ac:dyDescent="0.3">
      <c r="A80" s="8"/>
      <c r="B80" s="639"/>
      <c r="C80" s="640"/>
      <c r="D80" s="640"/>
      <c r="E80" s="640"/>
      <c r="F80" s="640"/>
      <c r="G80" s="640"/>
      <c r="H80" s="640"/>
      <c r="I80" s="640"/>
      <c r="J80" s="640"/>
      <c r="K80" s="640"/>
      <c r="L80" s="641"/>
      <c r="M80" s="38"/>
      <c r="Q80" s="10"/>
    </row>
    <row r="81" spans="1:19" s="11" customFormat="1" x14ac:dyDescent="0.3">
      <c r="A81" s="8"/>
      <c r="B81" s="639"/>
      <c r="C81" s="640"/>
      <c r="D81" s="640"/>
      <c r="E81" s="640"/>
      <c r="F81" s="640"/>
      <c r="G81" s="640"/>
      <c r="H81" s="640"/>
      <c r="I81" s="640"/>
      <c r="J81" s="640"/>
      <c r="K81" s="640"/>
      <c r="L81" s="641"/>
      <c r="M81" s="38"/>
      <c r="Q81" s="10"/>
    </row>
    <row r="82" spans="1:19" x14ac:dyDescent="0.3">
      <c r="A82" s="7"/>
      <c r="B82" s="72"/>
      <c r="C82" s="69"/>
      <c r="D82" s="69"/>
      <c r="E82" s="69"/>
      <c r="F82" s="69"/>
      <c r="G82" s="69"/>
      <c r="H82" s="69"/>
      <c r="I82" s="69"/>
      <c r="J82" s="69"/>
      <c r="K82" s="69"/>
      <c r="L82" s="70"/>
      <c r="M82" s="10"/>
    </row>
    <row r="83" spans="1:19" s="11" customFormat="1" x14ac:dyDescent="0.3">
      <c r="A83" s="7"/>
      <c r="B83" s="650" t="s">
        <v>18</v>
      </c>
      <c r="C83" s="651"/>
      <c r="D83" s="651"/>
      <c r="E83" s="651"/>
      <c r="F83" s="651"/>
      <c r="G83" s="651"/>
      <c r="H83" s="651"/>
      <c r="I83" s="651"/>
      <c r="J83" s="651"/>
      <c r="K83" s="651"/>
      <c r="L83" s="652"/>
      <c r="M83" s="73"/>
    </row>
    <row r="84" spans="1:19" x14ac:dyDescent="0.3">
      <c r="A84" s="7"/>
      <c r="B84" s="74"/>
      <c r="C84" s="75"/>
      <c r="D84" s="75"/>
      <c r="E84" s="75"/>
      <c r="F84" s="75"/>
      <c r="G84" s="75"/>
      <c r="H84" s="75"/>
      <c r="I84" s="75"/>
      <c r="J84" s="75"/>
      <c r="K84" s="75"/>
      <c r="L84" s="58"/>
      <c r="M84" s="10"/>
    </row>
    <row r="85" spans="1:19" x14ac:dyDescent="0.3">
      <c r="A85" s="7"/>
      <c r="B85" s="720" t="str">
        <f>IF(Intro!$G$20="English",O85,P85)</f>
        <v>Is there a different customer base in Canada for purchasing these goods?</v>
      </c>
      <c r="C85" s="721"/>
      <c r="D85" s="721"/>
      <c r="E85" s="721"/>
      <c r="F85" s="721"/>
      <c r="G85" s="721"/>
      <c r="H85" s="721"/>
      <c r="I85" s="721"/>
      <c r="J85" s="721"/>
      <c r="K85" s="721"/>
      <c r="L85" s="722"/>
      <c r="M85" s="10"/>
      <c r="O85" s="10" t="s">
        <v>228</v>
      </c>
      <c r="P85" s="10" t="s">
        <v>229</v>
      </c>
      <c r="Q85" s="38"/>
      <c r="R85" s="38"/>
      <c r="S85" s="38"/>
    </row>
    <row r="86" spans="1:19" x14ac:dyDescent="0.3">
      <c r="A86" s="7"/>
      <c r="B86" s="74"/>
      <c r="C86" s="75"/>
      <c r="D86" s="75"/>
      <c r="E86" s="75"/>
      <c r="F86" s="75"/>
      <c r="G86" s="75"/>
      <c r="H86" s="75"/>
      <c r="I86" s="75"/>
      <c r="J86" s="75"/>
      <c r="K86" s="75"/>
      <c r="L86" s="58"/>
      <c r="M86" s="10"/>
    </row>
    <row r="87" spans="1:19" s="11" customFormat="1" x14ac:dyDescent="0.3">
      <c r="A87" s="8"/>
      <c r="B87" s="639"/>
      <c r="C87" s="640"/>
      <c r="D87" s="640"/>
      <c r="E87" s="640"/>
      <c r="F87" s="640"/>
      <c r="G87" s="640"/>
      <c r="H87" s="640"/>
      <c r="I87" s="640"/>
      <c r="J87" s="640"/>
      <c r="K87" s="640"/>
      <c r="L87" s="641"/>
      <c r="M87" s="38"/>
      <c r="Q87" s="10"/>
    </row>
    <row r="88" spans="1:19" s="11" customFormat="1" x14ac:dyDescent="0.3">
      <c r="A88" s="8"/>
      <c r="B88" s="639"/>
      <c r="C88" s="640"/>
      <c r="D88" s="640"/>
      <c r="E88" s="640"/>
      <c r="F88" s="640"/>
      <c r="G88" s="640"/>
      <c r="H88" s="640"/>
      <c r="I88" s="640"/>
      <c r="J88" s="640"/>
      <c r="K88" s="640"/>
      <c r="L88" s="641"/>
      <c r="M88" s="38"/>
      <c r="Q88" s="10"/>
    </row>
    <row r="89" spans="1:19" s="11" customFormat="1" x14ac:dyDescent="0.3">
      <c r="A89" s="8"/>
      <c r="B89" s="639"/>
      <c r="C89" s="640"/>
      <c r="D89" s="640"/>
      <c r="E89" s="640"/>
      <c r="F89" s="640"/>
      <c r="G89" s="640"/>
      <c r="H89" s="640"/>
      <c r="I89" s="640"/>
      <c r="J89" s="640"/>
      <c r="K89" s="640"/>
      <c r="L89" s="641"/>
      <c r="M89" s="38"/>
      <c r="Q89" s="10"/>
    </row>
    <row r="90" spans="1:19" s="11" customFormat="1" x14ac:dyDescent="0.3">
      <c r="A90" s="8"/>
      <c r="B90" s="639"/>
      <c r="C90" s="640"/>
      <c r="D90" s="640"/>
      <c r="E90" s="640"/>
      <c r="F90" s="640"/>
      <c r="G90" s="640"/>
      <c r="H90" s="640"/>
      <c r="I90" s="640"/>
      <c r="J90" s="640"/>
      <c r="K90" s="640"/>
      <c r="L90" s="641"/>
      <c r="M90" s="38"/>
      <c r="Q90" s="10"/>
    </row>
    <row r="91" spans="1:19" s="11" customFormat="1" x14ac:dyDescent="0.3">
      <c r="A91" s="8"/>
      <c r="B91" s="639"/>
      <c r="C91" s="640"/>
      <c r="D91" s="640"/>
      <c r="E91" s="640"/>
      <c r="F91" s="640"/>
      <c r="G91" s="640"/>
      <c r="H91" s="640"/>
      <c r="I91" s="640"/>
      <c r="J91" s="640"/>
      <c r="K91" s="640"/>
      <c r="L91" s="641"/>
      <c r="M91" s="38"/>
      <c r="Q91" s="10"/>
    </row>
    <row r="92" spans="1:19" s="11" customFormat="1" x14ac:dyDescent="0.3">
      <c r="A92" s="8"/>
      <c r="B92" s="639"/>
      <c r="C92" s="640"/>
      <c r="D92" s="640"/>
      <c r="E92" s="640"/>
      <c r="F92" s="640"/>
      <c r="G92" s="640"/>
      <c r="H92" s="640"/>
      <c r="I92" s="640"/>
      <c r="J92" s="640"/>
      <c r="K92" s="640"/>
      <c r="L92" s="641"/>
      <c r="M92" s="38"/>
      <c r="Q92" s="10"/>
    </row>
    <row r="93" spans="1:19" s="11" customFormat="1" x14ac:dyDescent="0.3">
      <c r="A93" s="8"/>
      <c r="B93" s="639"/>
      <c r="C93" s="640"/>
      <c r="D93" s="640"/>
      <c r="E93" s="640"/>
      <c r="F93" s="640"/>
      <c r="G93" s="640"/>
      <c r="H93" s="640"/>
      <c r="I93" s="640"/>
      <c r="J93" s="640"/>
      <c r="K93" s="640"/>
      <c r="L93" s="641"/>
      <c r="M93" s="38"/>
      <c r="Q93" s="10"/>
    </row>
    <row r="94" spans="1:19" s="11" customFormat="1" x14ac:dyDescent="0.3">
      <c r="A94" s="8"/>
      <c r="B94" s="639"/>
      <c r="C94" s="640"/>
      <c r="D94" s="640"/>
      <c r="E94" s="640"/>
      <c r="F94" s="640"/>
      <c r="G94" s="640"/>
      <c r="H94" s="640"/>
      <c r="I94" s="640"/>
      <c r="J94" s="640"/>
      <c r="K94" s="640"/>
      <c r="L94" s="641"/>
      <c r="M94" s="38"/>
      <c r="Q94" s="10"/>
    </row>
    <row r="95" spans="1:19" x14ac:dyDescent="0.3">
      <c r="A95" s="7"/>
      <c r="B95" s="72"/>
      <c r="C95" s="69"/>
      <c r="D95" s="69"/>
      <c r="E95" s="69"/>
      <c r="F95" s="69"/>
      <c r="G95" s="69"/>
      <c r="H95" s="69"/>
      <c r="I95" s="69"/>
      <c r="J95" s="69"/>
      <c r="K95" s="69"/>
      <c r="L95" s="70"/>
      <c r="M95" s="10"/>
    </row>
    <row r="96" spans="1:19" s="11" customFormat="1" x14ac:dyDescent="0.3">
      <c r="A96" s="7"/>
      <c r="B96" s="90"/>
      <c r="C96" s="90"/>
      <c r="D96" s="90"/>
      <c r="E96" s="91"/>
      <c r="F96" s="91"/>
      <c r="G96" s="91"/>
      <c r="H96" s="91"/>
      <c r="I96" s="91"/>
      <c r="J96" s="91"/>
      <c r="K96" s="91"/>
      <c r="L96" s="91"/>
      <c r="M96" s="73"/>
    </row>
    <row r="97" spans="1:16" x14ac:dyDescent="0.3">
      <c r="A97" s="7"/>
      <c r="B97" s="506" t="str">
        <f>UPPER(IF(Intro!$G$20="English",O97,P97))</f>
        <v>REGIONAL SALES</v>
      </c>
      <c r="C97" s="507"/>
      <c r="D97" s="507"/>
      <c r="E97" s="507"/>
      <c r="F97" s="507"/>
      <c r="G97" s="507"/>
      <c r="H97" s="507"/>
      <c r="I97" s="507"/>
      <c r="J97" s="507"/>
      <c r="K97" s="507"/>
      <c r="L97" s="508"/>
      <c r="M97" s="10"/>
      <c r="O97" s="10" t="s">
        <v>151</v>
      </c>
      <c r="P97" s="10" t="s">
        <v>152</v>
      </c>
    </row>
    <row r="98" spans="1:16" x14ac:dyDescent="0.3">
      <c r="A98" s="7"/>
      <c r="B98" s="647" t="s">
        <v>19</v>
      </c>
      <c r="C98" s="648"/>
      <c r="D98" s="648"/>
      <c r="E98" s="648"/>
      <c r="F98" s="648"/>
      <c r="G98" s="648"/>
      <c r="H98" s="648"/>
      <c r="I98" s="648"/>
      <c r="J98" s="648"/>
      <c r="K98" s="648"/>
      <c r="L98" s="649"/>
      <c r="M98" s="10"/>
    </row>
    <row r="99" spans="1:16" x14ac:dyDescent="0.3">
      <c r="A99" s="7"/>
      <c r="B99" s="16"/>
      <c r="C99" s="35"/>
      <c r="D99" s="35"/>
      <c r="E99" s="36"/>
      <c r="F99" s="36"/>
      <c r="G99" s="36"/>
      <c r="H99" s="36"/>
      <c r="I99" s="36"/>
      <c r="J99" s="36"/>
      <c r="K99" s="36"/>
      <c r="L99" s="17"/>
      <c r="M99" s="10"/>
    </row>
    <row r="100" spans="1:16" x14ac:dyDescent="0.3">
      <c r="A100" s="7"/>
      <c r="B100" s="503" t="str">
        <f>IF(Intro!$G$20="English",O100,P100)</f>
        <v>Provide the regional distribution of your firm's volume of import sales of the goods.</v>
      </c>
      <c r="C100" s="504"/>
      <c r="D100" s="504"/>
      <c r="E100" s="504"/>
      <c r="F100" s="504"/>
      <c r="G100" s="504"/>
      <c r="H100" s="504"/>
      <c r="I100" s="504"/>
      <c r="J100" s="504"/>
      <c r="K100" s="504"/>
      <c r="L100" s="505"/>
      <c r="M100" s="10"/>
      <c r="O100" s="18" t="s">
        <v>222</v>
      </c>
      <c r="P100" s="10" t="s">
        <v>165</v>
      </c>
    </row>
    <row r="101" spans="1:16" x14ac:dyDescent="0.3">
      <c r="A101" s="7"/>
      <c r="B101" s="503" t="str">
        <f>B22</f>
        <v>Note - Only complete this question if your firm sold the goods between January 1, 2023, and March 31, 2026.</v>
      </c>
      <c r="C101" s="504"/>
      <c r="D101" s="504"/>
      <c r="E101" s="504"/>
      <c r="F101" s="504"/>
      <c r="G101" s="504"/>
      <c r="H101" s="504"/>
      <c r="I101" s="504"/>
      <c r="J101" s="504"/>
      <c r="K101" s="504"/>
      <c r="L101" s="505"/>
      <c r="M101" s="10"/>
      <c r="O101" s="18"/>
    </row>
    <row r="102" spans="1:16" x14ac:dyDescent="0.3">
      <c r="A102" s="7"/>
      <c r="B102" s="61"/>
      <c r="C102" s="62"/>
      <c r="D102" s="35"/>
      <c r="E102" s="36"/>
      <c r="F102" s="36"/>
      <c r="G102" s="36"/>
      <c r="H102" s="36"/>
      <c r="I102" s="36"/>
      <c r="J102" s="36"/>
      <c r="K102" s="36"/>
      <c r="L102" s="17"/>
      <c r="M102" s="10"/>
      <c r="O102" s="18"/>
    </row>
    <row r="103" spans="1:16" x14ac:dyDescent="0.3">
      <c r="A103" s="7"/>
      <c r="B103" s="61"/>
      <c r="C103" s="62"/>
      <c r="F103" s="35"/>
      <c r="G103" s="728">
        <f>Variables!$B$6</f>
        <v>2023</v>
      </c>
      <c r="H103" s="728">
        <f>G103+1</f>
        <v>2024</v>
      </c>
      <c r="I103" s="728">
        <f>H103+1</f>
        <v>2025</v>
      </c>
      <c r="J103" s="728" t="str">
        <f>IF(Intro!$G$20="English",Variables!B9,Variables!C9)</f>
        <v>Jan-Mar 2025</v>
      </c>
      <c r="K103" s="728" t="str">
        <f>IF(Intro!$G$20="English",Variables!B10,Variables!C10)</f>
        <v>Jan-Mar 2026</v>
      </c>
      <c r="L103" s="71"/>
      <c r="M103" s="10"/>
      <c r="O103" s="18"/>
    </row>
    <row r="104" spans="1:16" x14ac:dyDescent="0.3">
      <c r="A104" s="7"/>
      <c r="B104" s="115"/>
      <c r="C104" s="116"/>
      <c r="F104" s="35"/>
      <c r="G104" s="728"/>
      <c r="H104" s="728"/>
      <c r="I104" s="728"/>
      <c r="J104" s="728"/>
      <c r="K104" s="728"/>
      <c r="L104" s="71"/>
      <c r="M104" s="10"/>
      <c r="O104" s="18"/>
    </row>
    <row r="105" spans="1:16" x14ac:dyDescent="0.3">
      <c r="A105" s="7"/>
      <c r="B105" s="717" t="str">
        <f>IF(Intro!$G$20="English",O105,P105)</f>
        <v>Atlantic Provinces</v>
      </c>
      <c r="C105" s="719"/>
      <c r="D105" s="719"/>
      <c r="E105" s="719"/>
      <c r="F105" s="130" t="s">
        <v>123</v>
      </c>
      <c r="G105" s="234"/>
      <c r="H105" s="234"/>
      <c r="I105" s="234"/>
      <c r="J105" s="234"/>
      <c r="K105" s="234"/>
      <c r="L105" s="71"/>
      <c r="M105" s="10"/>
      <c r="O105" s="10" t="s">
        <v>34</v>
      </c>
      <c r="P105" s="10" t="s">
        <v>35</v>
      </c>
    </row>
    <row r="106" spans="1:16" x14ac:dyDescent="0.3">
      <c r="A106" s="7"/>
      <c r="B106" s="717" t="str">
        <f>IF(Intro!$G$20="English",O106,P106)</f>
        <v xml:space="preserve">Quebec and Ontario </v>
      </c>
      <c r="C106" s="718"/>
      <c r="D106" s="718"/>
      <c r="E106" s="718"/>
      <c r="F106" s="130" t="s">
        <v>123</v>
      </c>
      <c r="G106" s="234"/>
      <c r="H106" s="234"/>
      <c r="I106" s="234"/>
      <c r="J106" s="234"/>
      <c r="K106" s="234"/>
      <c r="L106" s="71"/>
      <c r="M106" s="10"/>
      <c r="O106" s="10" t="s">
        <v>36</v>
      </c>
      <c r="P106" s="10" t="s">
        <v>37</v>
      </c>
    </row>
    <row r="107" spans="1:16" x14ac:dyDescent="0.3">
      <c r="A107" s="7"/>
      <c r="B107" s="717" t="str">
        <f>IF(Intro!$G$20="English",O107,P107)</f>
        <v>Manitoba and Saskatchewan</v>
      </c>
      <c r="C107" s="718"/>
      <c r="D107" s="718"/>
      <c r="E107" s="718"/>
      <c r="F107" s="130" t="s">
        <v>123</v>
      </c>
      <c r="G107" s="234"/>
      <c r="H107" s="234"/>
      <c r="I107" s="234"/>
      <c r="J107" s="234"/>
      <c r="K107" s="234"/>
      <c r="L107" s="71"/>
      <c r="M107" s="10"/>
      <c r="O107" s="10" t="s">
        <v>38</v>
      </c>
      <c r="P107" s="10" t="s">
        <v>43</v>
      </c>
    </row>
    <row r="108" spans="1:16" x14ac:dyDescent="0.3">
      <c r="A108" s="7"/>
      <c r="B108" s="717" t="str">
        <f>IF(Intro!$G$20="English",O108,P108)</f>
        <v>Alberta and British Columbia</v>
      </c>
      <c r="C108" s="718"/>
      <c r="D108" s="718"/>
      <c r="E108" s="718"/>
      <c r="F108" s="130" t="s">
        <v>123</v>
      </c>
      <c r="G108" s="234"/>
      <c r="H108" s="234"/>
      <c r="I108" s="234"/>
      <c r="J108" s="234"/>
      <c r="K108" s="234"/>
      <c r="L108" s="71"/>
      <c r="M108" s="10"/>
      <c r="O108" s="10" t="s">
        <v>39</v>
      </c>
      <c r="P108" s="10" t="s">
        <v>40</v>
      </c>
    </row>
    <row r="109" spans="1:16" x14ac:dyDescent="0.3">
      <c r="A109" s="7"/>
      <c r="B109" s="717" t="str">
        <f>IF(Intro!$G$20="English",O109,P109)</f>
        <v>Nunavut, Yukon and Northwest Territories</v>
      </c>
      <c r="C109" s="718"/>
      <c r="D109" s="718"/>
      <c r="E109" s="718"/>
      <c r="F109" s="130" t="s">
        <v>123</v>
      </c>
      <c r="G109" s="234"/>
      <c r="H109" s="234"/>
      <c r="I109" s="234"/>
      <c r="J109" s="234"/>
      <c r="K109" s="234"/>
      <c r="L109" s="71"/>
      <c r="M109" s="10"/>
      <c r="O109" s="10" t="s">
        <v>41</v>
      </c>
      <c r="P109" s="10" t="s">
        <v>42</v>
      </c>
    </row>
    <row r="110" spans="1:16" s="11" customFormat="1" x14ac:dyDescent="0.3">
      <c r="A110" s="32"/>
      <c r="B110" s="717" t="str">
        <f>IF(Intro!$G$20="English",O110,P110)</f>
        <v>Unaccounted</v>
      </c>
      <c r="C110" s="718"/>
      <c r="D110" s="718"/>
      <c r="E110" s="718"/>
      <c r="F110" s="130" t="s">
        <v>123</v>
      </c>
      <c r="G110" s="235">
        <f>100-SUM(G105:G109)</f>
        <v>100</v>
      </c>
      <c r="H110" s="235">
        <f t="shared" ref="H110:I110" si="0">100-SUM(H105:H109)</f>
        <v>100</v>
      </c>
      <c r="I110" s="235">
        <f t="shared" si="0"/>
        <v>100</v>
      </c>
      <c r="J110" s="235">
        <f t="shared" ref="J110:K110" si="1">100-SUM(J105:J109)</f>
        <v>100</v>
      </c>
      <c r="K110" s="235">
        <f t="shared" si="1"/>
        <v>100</v>
      </c>
      <c r="L110" s="71"/>
      <c r="O110" s="11" t="s">
        <v>221</v>
      </c>
      <c r="P110" s="11" t="s">
        <v>249</v>
      </c>
    </row>
    <row r="111" spans="1:16" x14ac:dyDescent="0.3">
      <c r="A111" s="7"/>
      <c r="B111" s="72"/>
      <c r="C111" s="69"/>
      <c r="D111" s="69"/>
      <c r="E111" s="69"/>
      <c r="F111" s="69"/>
      <c r="G111" s="69"/>
      <c r="H111" s="69"/>
      <c r="I111" s="69"/>
      <c r="J111" s="69"/>
      <c r="K111" s="69"/>
      <c r="L111" s="70"/>
      <c r="M111" s="10"/>
    </row>
    <row r="112" spans="1:16" x14ac:dyDescent="0.3">
      <c r="A112" s="7"/>
      <c r="B112" s="40"/>
      <c r="C112" s="40"/>
      <c r="D112" s="40"/>
      <c r="E112" s="40"/>
      <c r="F112" s="40"/>
      <c r="G112" s="40"/>
      <c r="H112" s="40"/>
      <c r="I112" s="40"/>
      <c r="J112" s="40"/>
      <c r="K112" s="40"/>
      <c r="L112" s="40"/>
      <c r="M112" s="10"/>
    </row>
    <row r="113" spans="1:16" x14ac:dyDescent="0.3">
      <c r="A113" s="7"/>
      <c r="B113" s="506" t="str">
        <f>UPPER(IF(Intro!$G$20="English",O113,P113))</f>
        <v>SALES OF IMPORTS IN CANADA TO TOP FIVE ACCOUNTS</v>
      </c>
      <c r="C113" s="507"/>
      <c r="D113" s="507"/>
      <c r="E113" s="507"/>
      <c r="F113" s="507"/>
      <c r="G113" s="507"/>
      <c r="H113" s="507"/>
      <c r="I113" s="507"/>
      <c r="J113" s="507"/>
      <c r="K113" s="507"/>
      <c r="L113" s="508"/>
      <c r="M113" s="10"/>
      <c r="O113" s="10" t="s">
        <v>205</v>
      </c>
      <c r="P113" s="10" t="s">
        <v>206</v>
      </c>
    </row>
    <row r="114" spans="1:16" x14ac:dyDescent="0.3">
      <c r="A114" s="7"/>
      <c r="B114" s="647" t="s">
        <v>20</v>
      </c>
      <c r="C114" s="648"/>
      <c r="D114" s="648"/>
      <c r="E114" s="648"/>
      <c r="F114" s="648"/>
      <c r="G114" s="648"/>
      <c r="H114" s="648"/>
      <c r="I114" s="648"/>
      <c r="J114" s="648"/>
      <c r="K114" s="648"/>
      <c r="L114" s="649"/>
      <c r="M114" s="10"/>
    </row>
    <row r="115" spans="1:16" x14ac:dyDescent="0.3">
      <c r="A115" s="7"/>
      <c r="B115" s="16"/>
      <c r="C115" s="35"/>
      <c r="D115" s="35"/>
      <c r="E115" s="36"/>
      <c r="F115" s="36"/>
      <c r="G115" s="36"/>
      <c r="H115" s="36"/>
      <c r="I115" s="36"/>
      <c r="J115" s="36"/>
      <c r="K115" s="36"/>
      <c r="L115" s="17"/>
      <c r="M115" s="10"/>
    </row>
    <row r="116" spans="1:16" x14ac:dyDescent="0.3">
      <c r="A116" s="7"/>
      <c r="B116" s="503" t="str">
        <f>IF(Intro!$G$20="English",O116,P116)</f>
        <v>Identify your firm's five largest accounts for sales of the imports of the goods in Canada, by volume since Q2 - 2024.</v>
      </c>
      <c r="C116" s="504"/>
      <c r="D116" s="504"/>
      <c r="E116" s="504"/>
      <c r="F116" s="504"/>
      <c r="G116" s="504"/>
      <c r="H116" s="504"/>
      <c r="I116" s="504"/>
      <c r="J116" s="504"/>
      <c r="K116" s="504"/>
      <c r="L116" s="505"/>
      <c r="M116" s="10"/>
      <c r="O116" s="18" t="str">
        <f>"Identify your firm's five largest accounts for sales of the imports of the goods in Canada, by volume since "&amp;'Imp-Exp1'!E96&amp;"."</f>
        <v>Identify your firm's five largest accounts for sales of the imports of the goods in Canada, by volume since Q2 - 2024.</v>
      </c>
      <c r="P116" s="10" t="str">
        <f>"Identifiez les cinq plus grands comptes de votre entreprise pour les ventes d’importations de marchandises au Canada, depuis "&amp;'Imp-Exp1'!L96&amp;"."</f>
        <v>Identifiez les cinq plus grands comptes de votre entreprise pour les ventes d’importations de marchandises au Canada, depuis Q1 - 2026.</v>
      </c>
    </row>
    <row r="117" spans="1:16" x14ac:dyDescent="0.3">
      <c r="A117" s="7"/>
      <c r="B117" s="503" t="str">
        <f>B22</f>
        <v>Note - Only complete this question if your firm sold the goods between January 1, 2023, and March 31, 2026.</v>
      </c>
      <c r="C117" s="504"/>
      <c r="D117" s="504"/>
      <c r="E117" s="504"/>
      <c r="F117" s="504"/>
      <c r="G117" s="504"/>
      <c r="H117" s="504"/>
      <c r="I117" s="504"/>
      <c r="J117" s="504"/>
      <c r="K117" s="504"/>
      <c r="L117" s="505"/>
      <c r="M117" s="10"/>
      <c r="O117" s="18"/>
    </row>
    <row r="118" spans="1:16" x14ac:dyDescent="0.3">
      <c r="A118" s="7"/>
      <c r="B118" s="61"/>
      <c r="C118" s="62"/>
      <c r="D118" s="35"/>
      <c r="E118" s="36"/>
      <c r="F118" s="36"/>
      <c r="G118" s="36"/>
      <c r="H118" s="36"/>
      <c r="I118" s="36"/>
      <c r="J118" s="36"/>
      <c r="K118" s="36"/>
      <c r="L118" s="17"/>
      <c r="M118" s="10"/>
      <c r="O118" s="18"/>
    </row>
    <row r="119" spans="1:16" x14ac:dyDescent="0.3">
      <c r="A119" s="7"/>
      <c r="B119" s="123" t="str">
        <f>IF(Intro!$G$20="English",O119,P119)</f>
        <v>Account 1</v>
      </c>
      <c r="C119" s="706"/>
      <c r="D119" s="729"/>
      <c r="E119" s="729"/>
      <c r="F119" s="729"/>
      <c r="G119" s="729"/>
      <c r="H119" s="729"/>
      <c r="I119" s="729"/>
      <c r="J119" s="729"/>
      <c r="K119" s="729"/>
      <c r="L119" s="729"/>
      <c r="M119" s="10"/>
      <c r="O119" s="18" t="s">
        <v>45</v>
      </c>
      <c r="P119" s="10" t="s">
        <v>46</v>
      </c>
    </row>
    <row r="120" spans="1:16" x14ac:dyDescent="0.3">
      <c r="A120" s="7"/>
      <c r="B120" s="123" t="str">
        <f>IF(Intro!$G$20="English",O120,P120)</f>
        <v>Account 2</v>
      </c>
      <c r="C120" s="706"/>
      <c r="D120" s="729"/>
      <c r="E120" s="729"/>
      <c r="F120" s="729"/>
      <c r="G120" s="729"/>
      <c r="H120" s="729"/>
      <c r="I120" s="729"/>
      <c r="J120" s="729"/>
      <c r="K120" s="729"/>
      <c r="L120" s="729"/>
      <c r="M120" s="10"/>
      <c r="O120" s="18" t="s">
        <v>47</v>
      </c>
      <c r="P120" s="10" t="s">
        <v>48</v>
      </c>
    </row>
    <row r="121" spans="1:16" x14ac:dyDescent="0.3">
      <c r="A121" s="7"/>
      <c r="B121" s="123" t="str">
        <f>IF(Intro!$G$20="English",O121,P121)</f>
        <v>Account 3</v>
      </c>
      <c r="C121" s="706"/>
      <c r="D121" s="729"/>
      <c r="E121" s="729"/>
      <c r="F121" s="729"/>
      <c r="G121" s="729"/>
      <c r="H121" s="729"/>
      <c r="I121" s="729"/>
      <c r="J121" s="729"/>
      <c r="K121" s="729"/>
      <c r="L121" s="729"/>
      <c r="M121" s="10"/>
      <c r="O121" s="18" t="s">
        <v>49</v>
      </c>
      <c r="P121" s="10" t="s">
        <v>50</v>
      </c>
    </row>
    <row r="122" spans="1:16" x14ac:dyDescent="0.3">
      <c r="A122" s="7"/>
      <c r="B122" s="123" t="str">
        <f>IF(Intro!$G$20="English",O122,P122)</f>
        <v>Account 4</v>
      </c>
      <c r="C122" s="706"/>
      <c r="D122" s="729"/>
      <c r="E122" s="729"/>
      <c r="F122" s="729"/>
      <c r="G122" s="729"/>
      <c r="H122" s="729"/>
      <c r="I122" s="729"/>
      <c r="J122" s="729"/>
      <c r="K122" s="729"/>
      <c r="L122" s="729"/>
      <c r="M122" s="10"/>
      <c r="O122" s="18" t="s">
        <v>51</v>
      </c>
      <c r="P122" s="10" t="s">
        <v>52</v>
      </c>
    </row>
    <row r="123" spans="1:16" x14ac:dyDescent="0.3">
      <c r="A123" s="7"/>
      <c r="B123" s="123" t="str">
        <f>IF(Intro!$G$20="English",O123,P123)</f>
        <v>Account 5</v>
      </c>
      <c r="C123" s="706"/>
      <c r="D123" s="729"/>
      <c r="E123" s="729"/>
      <c r="F123" s="729"/>
      <c r="G123" s="729"/>
      <c r="H123" s="729"/>
      <c r="I123" s="729"/>
      <c r="J123" s="729"/>
      <c r="K123" s="729"/>
      <c r="L123" s="729"/>
      <c r="M123" s="10"/>
      <c r="O123" s="18" t="s">
        <v>53</v>
      </c>
      <c r="P123" s="10" t="s">
        <v>54</v>
      </c>
    </row>
    <row r="124" spans="1:16" x14ac:dyDescent="0.3">
      <c r="A124" s="7"/>
      <c r="B124" s="299" t="str">
        <f>IF(Intro!$G$20="English",O124,P124)</f>
        <v>Account 6</v>
      </c>
      <c r="C124" s="706"/>
      <c r="D124" s="729"/>
      <c r="E124" s="729"/>
      <c r="F124" s="729"/>
      <c r="G124" s="729"/>
      <c r="H124" s="729"/>
      <c r="I124" s="729"/>
      <c r="J124" s="729"/>
      <c r="K124" s="729"/>
      <c r="L124" s="729"/>
      <c r="M124" s="10"/>
      <c r="O124" s="18" t="s">
        <v>605</v>
      </c>
      <c r="P124" s="10" t="s">
        <v>606</v>
      </c>
    </row>
    <row r="125" spans="1:16" x14ac:dyDescent="0.3">
      <c r="A125" s="7"/>
      <c r="B125" s="46"/>
      <c r="C125" s="117"/>
      <c r="D125" s="132"/>
      <c r="E125" s="133"/>
      <c r="F125" s="133"/>
      <c r="G125" s="133"/>
      <c r="H125" s="133"/>
      <c r="I125" s="133"/>
      <c r="J125" s="133"/>
      <c r="K125" s="133"/>
      <c r="L125" s="134"/>
      <c r="M125" s="10"/>
      <c r="O125" s="18"/>
    </row>
    <row r="126" spans="1:16" x14ac:dyDescent="0.3">
      <c r="A126" s="7"/>
      <c r="B126" s="40"/>
      <c r="C126" s="40"/>
      <c r="D126" s="40"/>
      <c r="E126" s="40"/>
      <c r="F126" s="40"/>
      <c r="G126" s="40"/>
      <c r="H126" s="40"/>
      <c r="I126" s="40"/>
      <c r="J126" s="40"/>
      <c r="K126" s="40"/>
      <c r="L126" s="40"/>
      <c r="M126" s="10"/>
    </row>
    <row r="127" spans="1:16" x14ac:dyDescent="0.3">
      <c r="A127" s="7"/>
      <c r="B127" s="506" t="str">
        <f>UPPER(IF(Intro!$G$20="English",O127,P127))</f>
        <v>PLANS</v>
      </c>
      <c r="C127" s="507"/>
      <c r="D127" s="507"/>
      <c r="E127" s="507"/>
      <c r="F127" s="507"/>
      <c r="G127" s="507"/>
      <c r="H127" s="507"/>
      <c r="I127" s="507"/>
      <c r="J127" s="507"/>
      <c r="K127" s="507"/>
      <c r="L127" s="508"/>
      <c r="M127" s="10"/>
      <c r="O127" s="10" t="s">
        <v>279</v>
      </c>
      <c r="P127" s="10" t="s">
        <v>279</v>
      </c>
    </row>
    <row r="128" spans="1:16" s="11" customFormat="1" x14ac:dyDescent="0.3">
      <c r="A128" s="8"/>
      <c r="B128" s="650" t="s">
        <v>21</v>
      </c>
      <c r="C128" s="651"/>
      <c r="D128" s="651"/>
      <c r="E128" s="651"/>
      <c r="F128" s="651"/>
      <c r="G128" s="651"/>
      <c r="H128" s="651"/>
      <c r="I128" s="651"/>
      <c r="J128" s="651"/>
      <c r="K128" s="651"/>
      <c r="L128" s="652"/>
      <c r="M128" s="73"/>
    </row>
    <row r="129" spans="1:17" x14ac:dyDescent="0.3">
      <c r="B129" s="74"/>
      <c r="C129" s="75"/>
      <c r="D129" s="40"/>
      <c r="E129" s="40"/>
      <c r="F129" s="40"/>
      <c r="G129" s="40"/>
      <c r="H129" s="40"/>
      <c r="I129" s="40"/>
      <c r="J129" s="40"/>
      <c r="K129" s="40"/>
      <c r="L129" s="58"/>
      <c r="M129" s="10"/>
    </row>
    <row r="130" spans="1:17" ht="14.1" customHeight="1" x14ac:dyDescent="0.3">
      <c r="B130" s="500" t="str">
        <f>IF(Intro!$G$20="English",O130,P130)</f>
        <v>Provide your firm’s strategies and objectives for the next two years with respect to purchases of the goods made in Canada. Provide the rationale and assumptions underlying these strategies and objectives.</v>
      </c>
      <c r="C130" s="501"/>
      <c r="D130" s="501"/>
      <c r="E130" s="501"/>
      <c r="F130" s="501"/>
      <c r="G130" s="501"/>
      <c r="H130" s="501"/>
      <c r="I130" s="501"/>
      <c r="J130" s="501"/>
      <c r="K130" s="501"/>
      <c r="L130" s="502"/>
      <c r="M130" s="10"/>
      <c r="O130" s="10" t="s">
        <v>278</v>
      </c>
      <c r="P130" s="10" t="s">
        <v>225</v>
      </c>
    </row>
    <row r="131" spans="1:17" x14ac:dyDescent="0.3">
      <c r="B131" s="500"/>
      <c r="C131" s="501"/>
      <c r="D131" s="501"/>
      <c r="E131" s="501"/>
      <c r="F131" s="501"/>
      <c r="G131" s="501"/>
      <c r="H131" s="501"/>
      <c r="I131" s="501"/>
      <c r="J131" s="501"/>
      <c r="K131" s="501"/>
      <c r="L131" s="502"/>
      <c r="M131" s="10"/>
    </row>
    <row r="132" spans="1:17" x14ac:dyDescent="0.3">
      <c r="B132" s="74"/>
      <c r="C132" s="75"/>
      <c r="D132" s="40"/>
      <c r="E132" s="40"/>
      <c r="F132" s="40"/>
      <c r="G132" s="40"/>
      <c r="H132" s="40"/>
      <c r="I132" s="40"/>
      <c r="J132" s="40"/>
      <c r="K132" s="40"/>
      <c r="L132" s="58"/>
      <c r="M132" s="10"/>
    </row>
    <row r="133" spans="1:17" s="11" customFormat="1" x14ac:dyDescent="0.3">
      <c r="A133" s="8"/>
      <c r="B133" s="639"/>
      <c r="C133" s="640"/>
      <c r="D133" s="640"/>
      <c r="E133" s="640"/>
      <c r="F133" s="640"/>
      <c r="G133" s="640"/>
      <c r="H133" s="640"/>
      <c r="I133" s="640"/>
      <c r="J133" s="640"/>
      <c r="K133" s="640"/>
      <c r="L133" s="641"/>
      <c r="M133" s="38"/>
      <c r="Q133" s="10"/>
    </row>
    <row r="134" spans="1:17" s="11" customFormat="1" x14ac:dyDescent="0.3">
      <c r="A134" s="8"/>
      <c r="B134" s="639"/>
      <c r="C134" s="640"/>
      <c r="D134" s="640"/>
      <c r="E134" s="640"/>
      <c r="F134" s="640"/>
      <c r="G134" s="640"/>
      <c r="H134" s="640"/>
      <c r="I134" s="640"/>
      <c r="J134" s="640"/>
      <c r="K134" s="640"/>
      <c r="L134" s="641"/>
      <c r="M134" s="38"/>
      <c r="Q134" s="10"/>
    </row>
    <row r="135" spans="1:17" s="11" customFormat="1" x14ac:dyDescent="0.3">
      <c r="A135" s="8"/>
      <c r="B135" s="639"/>
      <c r="C135" s="640"/>
      <c r="D135" s="640"/>
      <c r="E135" s="640"/>
      <c r="F135" s="640"/>
      <c r="G135" s="640"/>
      <c r="H135" s="640"/>
      <c r="I135" s="640"/>
      <c r="J135" s="640"/>
      <c r="K135" s="640"/>
      <c r="L135" s="641"/>
      <c r="M135" s="38"/>
      <c r="Q135" s="10"/>
    </row>
    <row r="136" spans="1:17" s="11" customFormat="1" x14ac:dyDescent="0.3">
      <c r="A136" s="8"/>
      <c r="B136" s="639"/>
      <c r="C136" s="640"/>
      <c r="D136" s="640"/>
      <c r="E136" s="640"/>
      <c r="F136" s="640"/>
      <c r="G136" s="640"/>
      <c r="H136" s="640"/>
      <c r="I136" s="640"/>
      <c r="J136" s="640"/>
      <c r="K136" s="640"/>
      <c r="L136" s="641"/>
      <c r="M136" s="38"/>
      <c r="Q136" s="10"/>
    </row>
    <row r="137" spans="1:17" s="11" customFormat="1" x14ac:dyDescent="0.3">
      <c r="A137" s="8"/>
      <c r="B137" s="639"/>
      <c r="C137" s="640"/>
      <c r="D137" s="640"/>
      <c r="E137" s="640"/>
      <c r="F137" s="640"/>
      <c r="G137" s="640"/>
      <c r="H137" s="640"/>
      <c r="I137" s="640"/>
      <c r="J137" s="640"/>
      <c r="K137" s="640"/>
      <c r="L137" s="641"/>
      <c r="M137" s="38"/>
      <c r="Q137" s="10"/>
    </row>
    <row r="138" spans="1:17" s="11" customFormat="1" x14ac:dyDescent="0.3">
      <c r="A138" s="8"/>
      <c r="B138" s="639"/>
      <c r="C138" s="640"/>
      <c r="D138" s="640"/>
      <c r="E138" s="640"/>
      <c r="F138" s="640"/>
      <c r="G138" s="640"/>
      <c r="H138" s="640"/>
      <c r="I138" s="640"/>
      <c r="J138" s="640"/>
      <c r="K138" s="640"/>
      <c r="L138" s="641"/>
      <c r="M138" s="38"/>
      <c r="Q138" s="10"/>
    </row>
    <row r="139" spans="1:17" s="11" customFormat="1" x14ac:dyDescent="0.3">
      <c r="A139" s="8"/>
      <c r="B139" s="639"/>
      <c r="C139" s="640"/>
      <c r="D139" s="640"/>
      <c r="E139" s="640"/>
      <c r="F139" s="640"/>
      <c r="G139" s="640"/>
      <c r="H139" s="640"/>
      <c r="I139" s="640"/>
      <c r="J139" s="640"/>
      <c r="K139" s="640"/>
      <c r="L139" s="641"/>
      <c r="M139" s="38"/>
      <c r="Q139" s="10"/>
    </row>
    <row r="140" spans="1:17" s="11" customFormat="1" x14ac:dyDescent="0.3">
      <c r="A140" s="8"/>
      <c r="B140" s="639"/>
      <c r="C140" s="640"/>
      <c r="D140" s="640"/>
      <c r="E140" s="640"/>
      <c r="F140" s="640"/>
      <c r="G140" s="640"/>
      <c r="H140" s="640"/>
      <c r="I140" s="640"/>
      <c r="J140" s="640"/>
      <c r="K140" s="640"/>
      <c r="L140" s="641"/>
      <c r="M140" s="38"/>
      <c r="Q140" s="10"/>
    </row>
    <row r="141" spans="1:17" x14ac:dyDescent="0.3">
      <c r="B141" s="72"/>
      <c r="C141" s="69"/>
      <c r="D141" s="69"/>
      <c r="E141" s="69"/>
      <c r="F141" s="69"/>
      <c r="G141" s="69"/>
      <c r="H141" s="69"/>
      <c r="I141" s="69"/>
      <c r="J141" s="69"/>
      <c r="K141" s="69"/>
      <c r="L141" s="70"/>
      <c r="M141" s="10"/>
    </row>
    <row r="142" spans="1:17" s="11" customFormat="1" x14ac:dyDescent="0.3">
      <c r="A142" s="8"/>
      <c r="B142" s="650" t="s">
        <v>22</v>
      </c>
      <c r="C142" s="651"/>
      <c r="D142" s="651"/>
      <c r="E142" s="651"/>
      <c r="F142" s="651"/>
      <c r="G142" s="651"/>
      <c r="H142" s="651"/>
      <c r="I142" s="651"/>
      <c r="J142" s="651"/>
      <c r="K142" s="651"/>
      <c r="L142" s="652"/>
      <c r="M142" s="73"/>
    </row>
    <row r="143" spans="1:17" x14ac:dyDescent="0.3">
      <c r="B143" s="74"/>
      <c r="C143" s="75"/>
      <c r="D143" s="40"/>
      <c r="E143" s="40"/>
      <c r="F143" s="40"/>
      <c r="G143" s="40"/>
      <c r="H143" s="40"/>
      <c r="I143" s="40"/>
      <c r="J143" s="40"/>
      <c r="K143" s="40"/>
      <c r="L143" s="58"/>
      <c r="M143" s="10"/>
    </row>
    <row r="144" spans="1:17" ht="14.1" customHeight="1" x14ac:dyDescent="0.3">
      <c r="B144" s="500" t="str">
        <f>IF(Intro!$G$20="English",O144,P144)</f>
        <v>Provide your firm’s strategies and objectives for the next two years with respect to imports and sales of imports of the goods. Provide the rationale and assumptions underlying these strategies and objectives.</v>
      </c>
      <c r="C144" s="501"/>
      <c r="D144" s="501"/>
      <c r="E144" s="501"/>
      <c r="F144" s="501"/>
      <c r="G144" s="501"/>
      <c r="H144" s="501"/>
      <c r="I144" s="501"/>
      <c r="J144" s="501"/>
      <c r="K144" s="501"/>
      <c r="L144" s="502"/>
      <c r="M144" s="10"/>
      <c r="O144" s="10" t="s">
        <v>223</v>
      </c>
      <c r="P144" s="10" t="s">
        <v>224</v>
      </c>
    </row>
    <row r="145" spans="1:17" x14ac:dyDescent="0.3">
      <c r="B145" s="500"/>
      <c r="C145" s="501"/>
      <c r="D145" s="501"/>
      <c r="E145" s="501"/>
      <c r="F145" s="501"/>
      <c r="G145" s="501"/>
      <c r="H145" s="501"/>
      <c r="I145" s="501"/>
      <c r="J145" s="501"/>
      <c r="K145" s="501"/>
      <c r="L145" s="502"/>
      <c r="M145" s="10"/>
    </row>
    <row r="146" spans="1:17" x14ac:dyDescent="0.3">
      <c r="B146" s="74"/>
      <c r="C146" s="75"/>
      <c r="D146" s="40"/>
      <c r="E146" s="40"/>
      <c r="F146" s="40"/>
      <c r="G146" s="40"/>
      <c r="H146" s="40"/>
      <c r="I146" s="40"/>
      <c r="J146" s="40"/>
      <c r="K146" s="40"/>
      <c r="L146" s="58"/>
      <c r="M146" s="10"/>
    </row>
    <row r="147" spans="1:17" s="11" customFormat="1" x14ac:dyDescent="0.3">
      <c r="A147" s="8"/>
      <c r="B147" s="639"/>
      <c r="C147" s="640"/>
      <c r="D147" s="640"/>
      <c r="E147" s="640"/>
      <c r="F147" s="640"/>
      <c r="G147" s="640"/>
      <c r="H147" s="640"/>
      <c r="I147" s="640"/>
      <c r="J147" s="640"/>
      <c r="K147" s="640"/>
      <c r="L147" s="641"/>
      <c r="M147" s="38"/>
      <c r="Q147" s="10"/>
    </row>
    <row r="148" spans="1:17" s="11" customFormat="1" x14ac:dyDescent="0.3">
      <c r="A148" s="8"/>
      <c r="B148" s="639"/>
      <c r="C148" s="640"/>
      <c r="D148" s="640"/>
      <c r="E148" s="640"/>
      <c r="F148" s="640"/>
      <c r="G148" s="640"/>
      <c r="H148" s="640"/>
      <c r="I148" s="640"/>
      <c r="J148" s="640"/>
      <c r="K148" s="640"/>
      <c r="L148" s="641"/>
      <c r="M148" s="38"/>
      <c r="Q148" s="10"/>
    </row>
    <row r="149" spans="1:17" s="11" customFormat="1" x14ac:dyDescent="0.3">
      <c r="A149" s="8"/>
      <c r="B149" s="639"/>
      <c r="C149" s="640"/>
      <c r="D149" s="640"/>
      <c r="E149" s="640"/>
      <c r="F149" s="640"/>
      <c r="G149" s="640"/>
      <c r="H149" s="640"/>
      <c r="I149" s="640"/>
      <c r="J149" s="640"/>
      <c r="K149" s="640"/>
      <c r="L149" s="641"/>
      <c r="M149" s="38"/>
      <c r="Q149" s="10"/>
    </row>
    <row r="150" spans="1:17" s="11" customFormat="1" x14ac:dyDescent="0.3">
      <c r="A150" s="8"/>
      <c r="B150" s="639"/>
      <c r="C150" s="640"/>
      <c r="D150" s="640"/>
      <c r="E150" s="640"/>
      <c r="F150" s="640"/>
      <c r="G150" s="640"/>
      <c r="H150" s="640"/>
      <c r="I150" s="640"/>
      <c r="J150" s="640"/>
      <c r="K150" s="640"/>
      <c r="L150" s="641"/>
      <c r="M150" s="38"/>
      <c r="Q150" s="10"/>
    </row>
    <row r="151" spans="1:17" s="11" customFormat="1" x14ac:dyDescent="0.3">
      <c r="A151" s="8"/>
      <c r="B151" s="639"/>
      <c r="C151" s="640"/>
      <c r="D151" s="640"/>
      <c r="E151" s="640"/>
      <c r="F151" s="640"/>
      <c r="G151" s="640"/>
      <c r="H151" s="640"/>
      <c r="I151" s="640"/>
      <c r="J151" s="640"/>
      <c r="K151" s="640"/>
      <c r="L151" s="641"/>
      <c r="M151" s="38"/>
      <c r="Q151" s="10"/>
    </row>
    <row r="152" spans="1:17" s="11" customFormat="1" x14ac:dyDescent="0.3">
      <c r="A152" s="8"/>
      <c r="B152" s="639"/>
      <c r="C152" s="640"/>
      <c r="D152" s="640"/>
      <c r="E152" s="640"/>
      <c r="F152" s="640"/>
      <c r="G152" s="640"/>
      <c r="H152" s="640"/>
      <c r="I152" s="640"/>
      <c r="J152" s="640"/>
      <c r="K152" s="640"/>
      <c r="L152" s="641"/>
      <c r="M152" s="38"/>
      <c r="Q152" s="10"/>
    </row>
    <row r="153" spans="1:17" s="11" customFormat="1" x14ac:dyDescent="0.3">
      <c r="A153" s="8"/>
      <c r="B153" s="639"/>
      <c r="C153" s="640"/>
      <c r="D153" s="640"/>
      <c r="E153" s="640"/>
      <c r="F153" s="640"/>
      <c r="G153" s="640"/>
      <c r="H153" s="640"/>
      <c r="I153" s="640"/>
      <c r="J153" s="640"/>
      <c r="K153" s="640"/>
      <c r="L153" s="641"/>
      <c r="M153" s="38"/>
      <c r="Q153" s="10"/>
    </row>
    <row r="154" spans="1:17" s="11" customFormat="1" x14ac:dyDescent="0.3">
      <c r="A154" s="8"/>
      <c r="B154" s="639"/>
      <c r="C154" s="640"/>
      <c r="D154" s="640"/>
      <c r="E154" s="640"/>
      <c r="F154" s="640"/>
      <c r="G154" s="640"/>
      <c r="H154" s="640"/>
      <c r="I154" s="640"/>
      <c r="J154" s="640"/>
      <c r="K154" s="640"/>
      <c r="L154" s="641"/>
      <c r="M154" s="38"/>
      <c r="Q154" s="10"/>
    </row>
    <row r="155" spans="1:17" x14ac:dyDescent="0.3">
      <c r="B155" s="72"/>
      <c r="C155" s="69"/>
      <c r="D155" s="69"/>
      <c r="E155" s="69"/>
      <c r="F155" s="69"/>
      <c r="G155" s="69"/>
      <c r="H155" s="69"/>
      <c r="I155" s="69"/>
      <c r="J155" s="69"/>
      <c r="K155" s="69"/>
      <c r="L155" s="70"/>
      <c r="M155" s="10"/>
    </row>
    <row r="156" spans="1:17" s="44" customFormat="1" x14ac:dyDescent="0.3">
      <c r="A156" s="76"/>
      <c r="B156" s="4"/>
      <c r="C156" s="4"/>
      <c r="D156" s="77"/>
      <c r="E156" s="77"/>
      <c r="F156" s="77"/>
      <c r="G156" s="77"/>
      <c r="H156" s="77"/>
      <c r="I156" s="77"/>
      <c r="J156" s="77"/>
      <c r="K156" s="77"/>
      <c r="L156" s="77"/>
      <c r="N156" s="78"/>
    </row>
    <row r="157" spans="1:17" s="44" customFormat="1" x14ac:dyDescent="0.3">
      <c r="A157" s="76"/>
      <c r="B157" s="4"/>
      <c r="C157" s="4"/>
      <c r="D157" s="77"/>
      <c r="E157" s="77"/>
      <c r="F157" s="77"/>
      <c r="G157" s="77"/>
      <c r="H157" s="77"/>
      <c r="I157" s="77"/>
      <c r="J157" s="77"/>
      <c r="K157" s="77"/>
      <c r="L157" s="77"/>
      <c r="N157" s="78"/>
    </row>
    <row r="158" spans="1:17" s="44" customFormat="1" x14ac:dyDescent="0.3">
      <c r="A158" s="76"/>
      <c r="B158" s="4"/>
      <c r="C158" s="4"/>
      <c r="D158" s="77"/>
      <c r="E158" s="77"/>
      <c r="F158" s="77"/>
      <c r="G158" s="77"/>
      <c r="H158" s="77"/>
      <c r="I158" s="77"/>
      <c r="J158" s="77"/>
      <c r="K158" s="77"/>
      <c r="L158" s="77"/>
      <c r="N158" s="78"/>
    </row>
    <row r="159" spans="1:17" s="44" customFormat="1" x14ac:dyDescent="0.3">
      <c r="A159" s="76"/>
      <c r="B159" s="4"/>
      <c r="C159" s="4"/>
      <c r="D159" s="77"/>
      <c r="E159" s="77"/>
      <c r="F159" s="77"/>
      <c r="G159" s="77"/>
      <c r="H159" s="77"/>
      <c r="I159" s="77"/>
      <c r="J159" s="77"/>
      <c r="K159" s="77"/>
      <c r="L159" s="77"/>
      <c r="N159" s="78"/>
    </row>
    <row r="160" spans="1:17" s="44" customFormat="1" x14ac:dyDescent="0.3">
      <c r="A160" s="76"/>
      <c r="B160" s="4"/>
      <c r="C160" s="4"/>
      <c r="D160" s="77"/>
      <c r="E160" s="77"/>
      <c r="F160" s="77"/>
      <c r="G160" s="77"/>
      <c r="H160" s="77"/>
      <c r="I160" s="77"/>
      <c r="J160" s="77"/>
      <c r="K160" s="77"/>
      <c r="L160" s="77"/>
      <c r="N160" s="78"/>
    </row>
    <row r="161" spans="1:14" s="44" customFormat="1" x14ac:dyDescent="0.3">
      <c r="A161" s="76"/>
      <c r="B161" s="4"/>
      <c r="C161" s="4"/>
      <c r="D161" s="77"/>
      <c r="E161" s="77"/>
      <c r="F161" s="77"/>
      <c r="G161" s="77"/>
      <c r="H161" s="77"/>
      <c r="I161" s="77"/>
      <c r="J161" s="77"/>
      <c r="K161" s="77"/>
      <c r="L161" s="77"/>
      <c r="N161" s="78"/>
    </row>
    <row r="162" spans="1:14" s="44" customFormat="1" x14ac:dyDescent="0.3">
      <c r="A162" s="76"/>
      <c r="B162" s="4"/>
      <c r="C162" s="4"/>
      <c r="D162" s="77"/>
      <c r="E162" s="77"/>
      <c r="F162" s="77"/>
      <c r="G162" s="77"/>
      <c r="H162" s="77"/>
      <c r="I162" s="77"/>
      <c r="J162" s="77"/>
      <c r="K162" s="77"/>
      <c r="L162" s="77"/>
      <c r="N162" s="78"/>
    </row>
    <row r="163" spans="1:14" s="44" customFormat="1" x14ac:dyDescent="0.3">
      <c r="A163" s="76"/>
      <c r="B163" s="4"/>
      <c r="C163" s="4"/>
      <c r="D163" s="77"/>
      <c r="E163" s="77"/>
      <c r="F163" s="77"/>
      <c r="G163" s="77"/>
      <c r="H163" s="77"/>
      <c r="I163" s="77"/>
      <c r="J163" s="77"/>
      <c r="K163" s="77"/>
      <c r="L163" s="77"/>
      <c r="N163" s="78"/>
    </row>
    <row r="164" spans="1:14" s="44" customFormat="1" x14ac:dyDescent="0.3">
      <c r="A164" s="76"/>
      <c r="B164" s="4"/>
      <c r="C164" s="4"/>
      <c r="D164" s="77"/>
      <c r="E164" s="77"/>
      <c r="F164" s="77"/>
      <c r="G164" s="77"/>
      <c r="H164" s="77"/>
      <c r="I164" s="77"/>
      <c r="J164" s="77"/>
      <c r="K164" s="77"/>
      <c r="L164" s="77"/>
      <c r="N164" s="78"/>
    </row>
    <row r="165" spans="1:14" s="44" customFormat="1" x14ac:dyDescent="0.3">
      <c r="A165" s="76"/>
      <c r="B165" s="4"/>
      <c r="C165" s="4"/>
      <c r="D165" s="77"/>
      <c r="E165" s="77"/>
      <c r="F165" s="77"/>
      <c r="G165" s="77"/>
      <c r="H165" s="77"/>
      <c r="I165" s="77"/>
      <c r="J165" s="77"/>
      <c r="K165" s="77"/>
      <c r="L165" s="77"/>
      <c r="N165" s="78"/>
    </row>
    <row r="166" spans="1:14" s="44" customFormat="1" x14ac:dyDescent="0.3">
      <c r="A166" s="76"/>
      <c r="B166" s="4"/>
      <c r="C166" s="4"/>
      <c r="D166" s="77"/>
      <c r="E166" s="77"/>
      <c r="F166" s="77"/>
      <c r="G166" s="77"/>
      <c r="H166" s="77"/>
      <c r="I166" s="77"/>
      <c r="J166" s="77"/>
      <c r="K166" s="77"/>
      <c r="L166" s="77"/>
      <c r="N166" s="78"/>
    </row>
    <row r="167" spans="1:14" s="44" customFormat="1" x14ac:dyDescent="0.3">
      <c r="A167" s="76"/>
      <c r="B167" s="4"/>
      <c r="C167" s="4"/>
      <c r="D167" s="77"/>
      <c r="E167" s="77"/>
      <c r="F167" s="77"/>
      <c r="G167" s="77"/>
      <c r="H167" s="77"/>
      <c r="I167" s="77"/>
      <c r="J167" s="77"/>
      <c r="K167" s="77"/>
      <c r="L167" s="77"/>
      <c r="N167" s="78"/>
    </row>
    <row r="168" spans="1:14" s="44" customFormat="1" x14ac:dyDescent="0.3">
      <c r="A168" s="76"/>
      <c r="B168" s="4"/>
      <c r="C168" s="4"/>
      <c r="D168" s="77"/>
      <c r="E168" s="77"/>
      <c r="F168" s="77"/>
      <c r="G168" s="77"/>
      <c r="H168" s="77"/>
      <c r="I168" s="77"/>
      <c r="J168" s="77"/>
      <c r="K168" s="77"/>
      <c r="L168" s="77"/>
      <c r="N168" s="78"/>
    </row>
    <row r="169" spans="1:14" s="44" customFormat="1" x14ac:dyDescent="0.3">
      <c r="A169" s="76"/>
      <c r="B169" s="4"/>
      <c r="C169" s="4"/>
      <c r="D169" s="77"/>
      <c r="E169" s="77"/>
      <c r="F169" s="77"/>
      <c r="G169" s="77"/>
      <c r="H169" s="77"/>
      <c r="I169" s="77"/>
      <c r="J169" s="77"/>
      <c r="K169" s="77"/>
      <c r="L169" s="77"/>
      <c r="N169" s="78"/>
    </row>
    <row r="170" spans="1:14" s="44" customFormat="1" x14ac:dyDescent="0.3">
      <c r="A170" s="76"/>
      <c r="B170" s="4"/>
      <c r="C170" s="4"/>
      <c r="D170" s="77"/>
      <c r="E170" s="77"/>
      <c r="F170" s="77"/>
      <c r="G170" s="77"/>
      <c r="H170" s="77"/>
      <c r="I170" s="77"/>
      <c r="J170" s="77"/>
      <c r="K170" s="77"/>
      <c r="L170" s="77"/>
      <c r="N170" s="78"/>
    </row>
    <row r="171" spans="1:14" s="44" customFormat="1" x14ac:dyDescent="0.3">
      <c r="A171" s="76"/>
      <c r="B171" s="4"/>
      <c r="C171" s="4"/>
      <c r="D171" s="77"/>
      <c r="E171" s="77"/>
      <c r="F171" s="77"/>
      <c r="G171" s="77"/>
      <c r="H171" s="77"/>
      <c r="I171" s="77"/>
      <c r="J171" s="77"/>
      <c r="K171" s="77"/>
      <c r="L171" s="77"/>
      <c r="N171" s="78"/>
    </row>
    <row r="172" spans="1:14" s="44" customFormat="1" x14ac:dyDescent="0.3">
      <c r="A172" s="76"/>
      <c r="B172" s="4"/>
      <c r="C172" s="4"/>
      <c r="D172" s="77"/>
      <c r="E172" s="77"/>
      <c r="F172" s="77"/>
      <c r="G172" s="77"/>
      <c r="H172" s="77"/>
      <c r="I172" s="77"/>
      <c r="J172" s="77"/>
      <c r="K172" s="77"/>
      <c r="L172" s="77"/>
      <c r="N172" s="78"/>
    </row>
    <row r="173" spans="1:14" s="44" customFormat="1" x14ac:dyDescent="0.3">
      <c r="A173" s="76"/>
      <c r="B173" s="4"/>
      <c r="C173" s="4"/>
      <c r="D173" s="77"/>
      <c r="E173" s="77"/>
      <c r="F173" s="77"/>
      <c r="G173" s="77"/>
      <c r="H173" s="77"/>
      <c r="I173" s="77"/>
      <c r="J173" s="77"/>
      <c r="K173" s="77"/>
      <c r="L173" s="77"/>
      <c r="N173" s="78"/>
    </row>
    <row r="174" spans="1:14" s="44" customFormat="1" x14ac:dyDescent="0.3">
      <c r="A174" s="76"/>
      <c r="B174" s="4"/>
      <c r="C174" s="4"/>
      <c r="D174" s="77"/>
      <c r="E174" s="77"/>
      <c r="F174" s="77"/>
      <c r="G174" s="77"/>
      <c r="H174" s="77"/>
      <c r="I174" s="77"/>
      <c r="J174" s="77"/>
      <c r="K174" s="77"/>
      <c r="L174" s="77"/>
      <c r="N174" s="78"/>
    </row>
    <row r="175" spans="1:14" s="44" customFormat="1" x14ac:dyDescent="0.3">
      <c r="A175" s="76"/>
      <c r="B175" s="4"/>
      <c r="C175" s="4"/>
      <c r="D175" s="77"/>
      <c r="E175" s="77"/>
      <c r="F175" s="77"/>
      <c r="G175" s="77"/>
      <c r="H175" s="77"/>
      <c r="I175" s="77"/>
      <c r="J175" s="77"/>
      <c r="K175" s="77"/>
      <c r="L175" s="77"/>
      <c r="N175" s="78"/>
    </row>
    <row r="176" spans="1:14" s="44" customFormat="1" x14ac:dyDescent="0.3">
      <c r="A176" s="76"/>
      <c r="B176" s="4"/>
      <c r="C176" s="4"/>
      <c r="D176" s="77"/>
      <c r="E176" s="77"/>
      <c r="F176" s="77"/>
      <c r="G176" s="77"/>
      <c r="H176" s="77"/>
      <c r="I176" s="77"/>
      <c r="J176" s="77"/>
      <c r="K176" s="77"/>
      <c r="L176" s="77"/>
      <c r="N176" s="78"/>
    </row>
  </sheetData>
  <sheetProtection algorithmName="SHA-512" hashValue="c6Qqumua0KbMdiZT+7lPeU8p9NxCBUK56FQu3KtLfJd8c6PDzTDJIIQ7i/GCFOHF3Pl4eZJ+KziDNaLtjyE5bQ==" saltValue="jZMdfSI1K7/RvR7tn8SguQ==" spinCount="100000" sheet="1" objects="1" scenarios="1" selectLockedCells="1"/>
  <mergeCells count="70">
    <mergeCell ref="B35:L37"/>
    <mergeCell ref="E54:E55"/>
    <mergeCell ref="F54:F55"/>
    <mergeCell ref="H54:H55"/>
    <mergeCell ref="I54:I55"/>
    <mergeCell ref="B71:L72"/>
    <mergeCell ref="B74:L81"/>
    <mergeCell ref="B97:L97"/>
    <mergeCell ref="B128:L128"/>
    <mergeCell ref="G103:G104"/>
    <mergeCell ref="H103:H104"/>
    <mergeCell ref="I103:I104"/>
    <mergeCell ref="B113:L113"/>
    <mergeCell ref="B127:L127"/>
    <mergeCell ref="B83:L83"/>
    <mergeCell ref="B98:L98"/>
    <mergeCell ref="B87:L94"/>
    <mergeCell ref="B142:L142"/>
    <mergeCell ref="J103:J104"/>
    <mergeCell ref="K103:K104"/>
    <mergeCell ref="B130:L131"/>
    <mergeCell ref="C120:L120"/>
    <mergeCell ref="C121:L121"/>
    <mergeCell ref="C122:L122"/>
    <mergeCell ref="C123:L123"/>
    <mergeCell ref="B133:L140"/>
    <mergeCell ref="B117:L117"/>
    <mergeCell ref="B116:L116"/>
    <mergeCell ref="C119:L119"/>
    <mergeCell ref="B114:L114"/>
    <mergeCell ref="C124:L124"/>
    <mergeCell ref="B4:L4"/>
    <mergeCell ref="B5:L5"/>
    <mergeCell ref="B6:L6"/>
    <mergeCell ref="B11:L11"/>
    <mergeCell ref="B8:L8"/>
    <mergeCell ref="B9:L9"/>
    <mergeCell ref="B10:L10"/>
    <mergeCell ref="B12:L12"/>
    <mergeCell ref="B85:L85"/>
    <mergeCell ref="B56:C56"/>
    <mergeCell ref="B52:L52"/>
    <mergeCell ref="B38:L38"/>
    <mergeCell ref="B22:L22"/>
    <mergeCell ref="G54:G55"/>
    <mergeCell ref="B69:L69"/>
    <mergeCell ref="B19:L19"/>
    <mergeCell ref="B13:L13"/>
    <mergeCell ref="B24:L31"/>
    <mergeCell ref="B40:L47"/>
    <mergeCell ref="B60:L67"/>
    <mergeCell ref="B33:L33"/>
    <mergeCell ref="B49:L49"/>
    <mergeCell ref="B18:L18"/>
    <mergeCell ref="B147:L154"/>
    <mergeCell ref="B14:L14"/>
    <mergeCell ref="B15:L15"/>
    <mergeCell ref="B16:L16"/>
    <mergeCell ref="B110:E110"/>
    <mergeCell ref="B105:E105"/>
    <mergeCell ref="B106:E106"/>
    <mergeCell ref="B107:E107"/>
    <mergeCell ref="B108:E108"/>
    <mergeCell ref="B109:E109"/>
    <mergeCell ref="B21:L21"/>
    <mergeCell ref="B51:L51"/>
    <mergeCell ref="B58:L58"/>
    <mergeCell ref="B101:L101"/>
    <mergeCell ref="B100:L100"/>
    <mergeCell ref="B144:L145"/>
  </mergeCells>
  <phoneticPr fontId="42" type="noConversion"/>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40 B60 B74 B87 B133 B147 B42:B43 B63:B64 B78:B79 B90:B91 B135:B136 B149:B150" xr:uid="{D57C5EAA-365B-40A0-A0ED-271BD91A3A59}">
      <formula1>1000</formula1>
    </dataValidation>
    <dataValidation allowBlank="1" showInputMessage="1" showErrorMessage="1" sqref="C119:L124"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05:K109 E56:I56" xr:uid="{16746B84-75D7-4AE8-AB5C-DCB10DC84C50}">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8" min="1" max="11" man="1"/>
    <brk id="126"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workbookViewId="0"/>
  </sheetViews>
  <sheetFormatPr defaultRowHeight="14.4" x14ac:dyDescent="0.3"/>
  <sheetData/>
  <sheetProtection algorithmName="SHA-512" hashValue="jCC/qN07t7ey7GhMq4By/84QMnNb10gWQVQXPryWlb1vUKuu/J6pwj4wGvo5/2opiRd4lNUeSZZ+y5mm4WAS5g==" saltValue="lsBnlO3PeTu6BnE9VmaCrg==" spinCount="100000" sheet="1" objects="1" scenarios="1" select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A5E3-5D70-460F-B2E6-97B8F7F499C6}">
  <sheetPr>
    <tabColor rgb="FFFFC000"/>
  </sheetPr>
  <dimension ref="A1"/>
  <sheetViews>
    <sheetView workbookViewId="0"/>
  </sheetViews>
  <sheetFormatPr defaultRowHeight="14.4" x14ac:dyDescent="0.3"/>
  <sheetData/>
  <sheetProtection algorithmName="SHA-512" hashValue="pa8Y8hT9LltzBIieX7Fj+Hx6K1yl5X1ihW2DIiDAooDHiyKvmE9xx1ccS/lsKGrIuM6it1kRsYNCORZxhGEeDA==" saltValue="yZ6dBDavfaQNnLZ/2zUKDA=="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28</vt:i4>
      </vt:variant>
    </vt:vector>
  </HeadingPairs>
  <TitlesOfParts>
    <vt:vector size="51" baseType="lpstr">
      <vt:lpstr>Variables</vt:lpstr>
      <vt:lpstr>Intro</vt:lpstr>
      <vt:lpstr>Info</vt:lpstr>
      <vt:lpstr>Public</vt:lpstr>
      <vt:lpstr>Grades|Nuances</vt:lpstr>
      <vt:lpstr>AddPub</vt:lpstr>
      <vt:lpstr>Pro</vt:lpstr>
      <vt:lpstr>Begin</vt:lpstr>
      <vt:lpstr>B_EXP</vt:lpstr>
      <vt:lpstr>Imp-Exp1</vt:lpstr>
      <vt:lpstr>Imp-Exp2</vt:lpstr>
      <vt:lpstr>Imp-Exp3</vt:lpstr>
      <vt:lpstr>E_EXP</vt:lpstr>
      <vt:lpstr>Imp-US</vt:lpstr>
      <vt:lpstr>Imp-Other-Autre</vt:lpstr>
      <vt:lpstr>End</vt:lpstr>
      <vt:lpstr>Invent-Stock</vt:lpstr>
      <vt:lpstr>AddPro</vt:lpstr>
      <vt:lpstr>Confirm</vt:lpstr>
      <vt:lpstr>DB Forged</vt:lpstr>
      <vt:lpstr>DB Stamped</vt:lpstr>
      <vt:lpstr>DB Green Balls</vt:lpstr>
      <vt:lpstr>DB Qual</vt:lpstr>
      <vt:lpstr>AddPro!Print_Area</vt:lpstr>
      <vt:lpstr>AddPub!Print_Area</vt:lpstr>
      <vt:lpstr>Confirm!Print_Area</vt:lpstr>
      <vt:lpstr>'Grades|Nuances'!Print_Area</vt:lpstr>
      <vt:lpstr>'Imp-Exp1'!Print_Area</vt:lpstr>
      <vt:lpstr>'Imp-Exp2'!Print_Area</vt:lpstr>
      <vt:lpstr>'Imp-Exp3'!Print_Area</vt:lpstr>
      <vt:lpstr>'Imp-Other-Autre'!Print_Area</vt:lpstr>
      <vt:lpstr>'Imp-US'!Print_Area</vt:lpstr>
      <vt:lpstr>Info!Print_Area</vt:lpstr>
      <vt:lpstr>Intro!Print_Area</vt:lpstr>
      <vt:lpstr>'Invent-Stock'!Print_Area</vt:lpstr>
      <vt:lpstr>Pro!Print_Area</vt:lpstr>
      <vt:lpstr>Public!Print_Area</vt:lpstr>
      <vt:lpstr>AddPro!Print_Titles</vt:lpstr>
      <vt:lpstr>AddPub!Print_Titles</vt:lpstr>
      <vt:lpstr>Confirm!Print_Titles</vt:lpstr>
      <vt:lpstr>'Grades|Nuances'!Print_Titles</vt:lpstr>
      <vt:lpstr>'Imp-Exp1'!Print_Titles</vt:lpstr>
      <vt:lpstr>'Imp-Exp2'!Print_Titles</vt:lpstr>
      <vt:lpstr>'Imp-Exp3'!Print_Titles</vt:lpstr>
      <vt:lpstr>'Imp-Other-Autre'!Print_Titles</vt:lpstr>
      <vt:lpstr>'Imp-US'!Print_Titles</vt:lpstr>
      <vt:lpstr>Info!Print_Titles</vt:lpstr>
      <vt:lpstr>Intro!Print_Titles</vt:lpstr>
      <vt:lpstr>'Invent-Stock'!Print_Titles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Long, Joseph</cp:lastModifiedBy>
  <cp:lastPrinted>2026-03-16T17:11:12Z</cp:lastPrinted>
  <dcterms:created xsi:type="dcterms:W3CDTF">2021-02-04T13:13:50Z</dcterms:created>
  <dcterms:modified xsi:type="dcterms:W3CDTF">2026-06-11T16:26:21Z</dcterms:modified>
</cp:coreProperties>
</file>