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13_ncr:1_{BB0CB1CD-68EC-4A50-9F82-83FE34B77A54}" xr6:coauthVersionLast="47" xr6:coauthVersionMax="47" xr10:uidLastSave="{00000000-0000-0000-0000-000000000000}"/>
  <workbookProtection workbookAlgorithmName="SHA-512" workbookHashValue="jTWfxCcEoFT9ldhj4Ttrsy8A34Uy9/kWKFLox+xfPpg+5au/EfwSJUimxwqwX/tShZOMcSOOLhYxls4E5GGDwQ==" workbookSaltValue="BLyFKYFpgKMiCIQeRKYt+A==" workbookSpinCount="100000" lockStructure="1"/>
  <bookViews>
    <workbookView xWindow="-120" yWindow="-120" windowWidth="29040" windowHeight="15720"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Firm" sheetId="52" state="hidden" r:id="rId12"/>
    <sheet name="DBSls" sheetId="53" state="hidden" r:id="rId13"/>
    <sheet name="DBPerformance" sheetId="54" state="hidden" r:id="rId14"/>
    <sheet name="DBOtherPerf" sheetId="55" state="hidden" r:id="rId15"/>
    <sheet name="DBAvgCost" sheetId="56" state="hidden" r:id="rId16"/>
    <sheet name="DBNegative" sheetId="57" state="hidden" r:id="rId17"/>
    <sheet name="DBBenchmark" sheetId="58" state="hidden" r:id="rId18"/>
    <sheet name="DBRegional" sheetId="59" state="hidden" r:id="rId19"/>
    <sheet name="DBTopAcct" sheetId="60" state="hidden" r:id="rId20"/>
    <sheet name="DataTab" sheetId="51" state="hidden" r:id="rId21"/>
    <sheet name="QualDB" sheetId="61" state="hidden" r:id="rId22"/>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20">#REF!</definedName>
    <definedName name="POR">#REF!</definedName>
    <definedName name="ppc">#REF!</definedName>
    <definedName name="_xlnm.Print_Area" localSheetId="9">AddPro!$B$1:$L$57</definedName>
    <definedName name="_xlnm.Print_Area" localSheetId="4">AddPub!$B$1:$L$57</definedName>
    <definedName name="_xlnm.Print_Area" localSheetId="10">Confirm!$B$1:$L$86</definedName>
    <definedName name="_xlnm.Print_Area" localSheetId="2">Info!$B$1:$L$72</definedName>
    <definedName name="_xlnm.Print_Area" localSheetId="1">Intro!$B$1:$L$133</definedName>
    <definedName name="_xlnm.Print_Area" localSheetId="5">'Pro 1'!$B$1:$L$114</definedName>
    <definedName name="_xlnm.Print_Area" localSheetId="6">'Pro 2'!$B$1:$L$315</definedName>
    <definedName name="_xlnm.Print_Area" localSheetId="7">'Pro 3'!$B$1:$L$353</definedName>
    <definedName name="_xlnm.Print_Area" localSheetId="8">'Pro 4'!$B$1:$L$244</definedName>
    <definedName name="_xlnm.Print_Area" localSheetId="3">Public!$B$1:$L$461</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20">#REF!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61" l="1"/>
  <c r="D80" i="61"/>
  <c r="E81" i="61"/>
  <c r="D81" i="61"/>
  <c r="E79" i="61"/>
  <c r="D79" i="61"/>
  <c r="D78" i="61"/>
  <c r="E76" i="61"/>
  <c r="E75" i="61"/>
  <c r="E74" i="61"/>
  <c r="E73" i="61"/>
  <c r="E72" i="61"/>
  <c r="E71" i="61"/>
  <c r="E70" i="61"/>
  <c r="E69" i="61"/>
  <c r="E68" i="61"/>
  <c r="E67" i="61"/>
  <c r="E66" i="61"/>
  <c r="D76" i="61"/>
  <c r="D75" i="61"/>
  <c r="D74" i="61"/>
  <c r="D73" i="61"/>
  <c r="D72" i="61"/>
  <c r="D71" i="61"/>
  <c r="D70" i="61"/>
  <c r="D69" i="61"/>
  <c r="D68" i="61"/>
  <c r="D67" i="61"/>
  <c r="D66" i="61"/>
  <c r="E65" i="61"/>
  <c r="E64" i="61"/>
  <c r="E63" i="61"/>
  <c r="E62" i="61"/>
  <c r="E61" i="61"/>
  <c r="E60" i="61"/>
  <c r="E59" i="61"/>
  <c r="E58" i="61"/>
  <c r="E57" i="61"/>
  <c r="E56" i="61"/>
  <c r="E55" i="61"/>
  <c r="E54" i="61"/>
  <c r="E53" i="61"/>
  <c r="E52" i="61"/>
  <c r="E51" i="61"/>
  <c r="E50" i="61"/>
  <c r="E49" i="61"/>
  <c r="E48" i="61"/>
  <c r="E47" i="61"/>
  <c r="E46" i="61"/>
  <c r="E45" i="61"/>
  <c r="E39" i="61"/>
  <c r="E38" i="61"/>
  <c r="E37" i="61"/>
  <c r="E36" i="61"/>
  <c r="E34" i="61"/>
  <c r="E33" i="61"/>
  <c r="E32" i="61"/>
  <c r="E31" i="61"/>
  <c r="A32" i="61"/>
  <c r="A33" i="61"/>
  <c r="E30" i="61"/>
  <c r="E29" i="61"/>
  <c r="E27" i="61"/>
  <c r="E28" i="61"/>
  <c r="E26" i="61"/>
  <c r="E25" i="61"/>
  <c r="E24" i="61"/>
  <c r="E23" i="61"/>
  <c r="E22" i="61"/>
  <c r="E21" i="61"/>
  <c r="E20" i="61"/>
  <c r="E19" i="61"/>
  <c r="E18" i="61"/>
  <c r="E17" i="61"/>
  <c r="E16" i="61"/>
  <c r="E15" i="61"/>
  <c r="E14" i="61"/>
  <c r="E13" i="61"/>
  <c r="E12" i="61"/>
  <c r="E11" i="61"/>
  <c r="E10" i="61"/>
  <c r="E9" i="61"/>
  <c r="E7" i="61"/>
  <c r="E8" i="61"/>
  <c r="E6" i="61"/>
  <c r="A6" i="61"/>
  <c r="A7" i="61"/>
  <c r="A8" i="61"/>
  <c r="E5" i="61"/>
  <c r="E82" i="61"/>
  <c r="E78" i="61"/>
  <c r="E77" i="61"/>
  <c r="D77" i="61"/>
  <c r="E44" i="61"/>
  <c r="E43" i="61"/>
  <c r="E42" i="61"/>
  <c r="E41" i="61"/>
  <c r="E40" i="61"/>
  <c r="D39" i="61"/>
  <c r="D38" i="61"/>
  <c r="D37" i="61"/>
  <c r="D36" i="61"/>
  <c r="E35" i="61"/>
  <c r="D35" i="61"/>
  <c r="E4" i="61"/>
  <c r="E3" i="61"/>
  <c r="E2" i="61"/>
  <c r="A82" i="61"/>
  <c r="A81" i="61"/>
  <c r="A80" i="61"/>
  <c r="A79" i="61"/>
  <c r="A78" i="61"/>
  <c r="A77" i="61"/>
  <c r="A76" i="61"/>
  <c r="A75" i="61"/>
  <c r="A74" i="61"/>
  <c r="A73" i="61"/>
  <c r="A72" i="61"/>
  <c r="A71" i="61"/>
  <c r="A70" i="61"/>
  <c r="A69" i="61"/>
  <c r="A68" i="61"/>
  <c r="A67" i="61"/>
  <c r="A66" i="61"/>
  <c r="A65" i="61"/>
  <c r="A64" i="61"/>
  <c r="A63" i="61"/>
  <c r="A62" i="61"/>
  <c r="A61" i="61"/>
  <c r="A60" i="61"/>
  <c r="A59" i="61"/>
  <c r="A58" i="61"/>
  <c r="A57" i="61"/>
  <c r="A56" i="61"/>
  <c r="A55" i="61"/>
  <c r="A54" i="61"/>
  <c r="A53" i="61"/>
  <c r="A52" i="61"/>
  <c r="A51" i="61"/>
  <c r="A50" i="61"/>
  <c r="A49" i="61"/>
  <c r="A48" i="61"/>
  <c r="A47" i="61"/>
  <c r="A46" i="61"/>
  <c r="A45" i="61"/>
  <c r="A44" i="61"/>
  <c r="A43" i="61"/>
  <c r="A42" i="61"/>
  <c r="A41" i="61"/>
  <c r="A40" i="61"/>
  <c r="A39" i="61"/>
  <c r="A38" i="61"/>
  <c r="A37" i="61"/>
  <c r="A36" i="61"/>
  <c r="A35" i="61"/>
  <c r="A34" i="61"/>
  <c r="A31" i="61"/>
  <c r="A30" i="61"/>
  <c r="A29" i="61"/>
  <c r="A28" i="61"/>
  <c r="A27" i="61"/>
  <c r="A26" i="61"/>
  <c r="A25" i="61"/>
  <c r="A24" i="61"/>
  <c r="A23" i="61"/>
  <c r="A22" i="61"/>
  <c r="A21" i="61"/>
  <c r="A20" i="61"/>
  <c r="A19" i="61"/>
  <c r="A18" i="61"/>
  <c r="A17" i="61"/>
  <c r="A16" i="61"/>
  <c r="A15" i="61"/>
  <c r="A14" i="61"/>
  <c r="A13" i="61"/>
  <c r="A12" i="61"/>
  <c r="A11" i="61"/>
  <c r="A10" i="61"/>
  <c r="A9" i="61"/>
  <c r="A5" i="61"/>
  <c r="A4" i="61"/>
  <c r="A3" i="61"/>
  <c r="A2" i="61"/>
  <c r="J9" i="52" l="1"/>
  <c r="K9" i="52"/>
  <c r="L9" i="52"/>
  <c r="M9" i="52"/>
  <c r="I8" i="52"/>
  <c r="I9" i="52"/>
  <c r="U7" i="53"/>
  <c r="T7" i="53"/>
  <c r="S7" i="53"/>
  <c r="R7" i="53"/>
  <c r="Q7" i="53"/>
  <c r="AL7" i="53"/>
  <c r="AJ7" i="53"/>
  <c r="AI7" i="53"/>
  <c r="AH7" i="53"/>
  <c r="AF7" i="53"/>
  <c r="AE7" i="53"/>
  <c r="AD7" i="53"/>
  <c r="AC7" i="53"/>
  <c r="AA7" i="53"/>
  <c r="AM7" i="53" s="1"/>
  <c r="Z7" i="53"/>
  <c r="Y7" i="53"/>
  <c r="AK7" i="53" s="1"/>
  <c r="X7" i="53"/>
  <c r="W7" i="53"/>
  <c r="AG7" i="53" l="1"/>
  <c r="J8" i="59" l="1"/>
  <c r="G5" i="59"/>
  <c r="H5" i="59"/>
  <c r="I5" i="59"/>
  <c r="J5" i="59"/>
  <c r="G6" i="59"/>
  <c r="H6" i="59"/>
  <c r="I6" i="59"/>
  <c r="J6" i="59"/>
  <c r="G7" i="59"/>
  <c r="H7" i="59"/>
  <c r="I7" i="59"/>
  <c r="J7" i="59"/>
  <c r="G8" i="59"/>
  <c r="H8" i="59"/>
  <c r="I8" i="59"/>
  <c r="G9" i="59"/>
  <c r="H9" i="59"/>
  <c r="I9" i="59"/>
  <c r="J9" i="59"/>
  <c r="F6" i="59"/>
  <c r="F7" i="59"/>
  <c r="F8" i="59"/>
  <c r="F9" i="59"/>
  <c r="F5" i="59"/>
  <c r="Z6" i="58"/>
  <c r="AA6" i="58"/>
  <c r="AB6" i="58"/>
  <c r="AC6" i="58"/>
  <c r="AD6" i="58"/>
  <c r="AE6" i="58"/>
  <c r="AF6" i="58"/>
  <c r="Z7" i="58"/>
  <c r="AA7" i="58"/>
  <c r="AI7" i="58" s="1"/>
  <c r="AB7" i="58"/>
  <c r="AJ7" i="58" s="1"/>
  <c r="AC7" i="58"/>
  <c r="AK7" i="58" s="1"/>
  <c r="AD7" i="58"/>
  <c r="AE7" i="58"/>
  <c r="AF7" i="58"/>
  <c r="AN7" i="58" s="1"/>
  <c r="Z8" i="58"/>
  <c r="AA8" i="58"/>
  <c r="AB8" i="58"/>
  <c r="AC8" i="58"/>
  <c r="AD8" i="58"/>
  <c r="AE8" i="58"/>
  <c r="AF8" i="58"/>
  <c r="Z9" i="58"/>
  <c r="AA9" i="58"/>
  <c r="AB9" i="58"/>
  <c r="AJ9" i="58" s="1"/>
  <c r="AC9" i="58"/>
  <c r="AD9" i="58"/>
  <c r="AE9" i="58"/>
  <c r="AF9" i="58"/>
  <c r="Z10" i="58"/>
  <c r="AA10" i="58"/>
  <c r="AB10" i="58"/>
  <c r="AC10" i="58"/>
  <c r="AD10" i="58"/>
  <c r="AL10" i="58" s="1"/>
  <c r="AE10" i="58"/>
  <c r="AM10" i="58" s="1"/>
  <c r="AF10" i="58"/>
  <c r="Z11" i="58"/>
  <c r="AH11" i="58" s="1"/>
  <c r="AA11" i="58"/>
  <c r="AB11" i="58"/>
  <c r="AC11" i="58"/>
  <c r="AK11" i="58" s="1"/>
  <c r="AD11" i="58"/>
  <c r="AE11" i="58"/>
  <c r="AF11" i="58"/>
  <c r="Y11" i="58"/>
  <c r="AG11" i="58" s="1"/>
  <c r="Y10" i="58"/>
  <c r="AG10" i="58" s="1"/>
  <c r="Y9" i="58"/>
  <c r="Y8" i="58"/>
  <c r="Y7" i="58"/>
  <c r="R6" i="58"/>
  <c r="S6" i="58"/>
  <c r="T6" i="58"/>
  <c r="U6" i="58"/>
  <c r="V6" i="58"/>
  <c r="W6" i="58"/>
  <c r="X6" i="58"/>
  <c r="R7" i="58"/>
  <c r="S7" i="58"/>
  <c r="T7" i="58"/>
  <c r="U7" i="58"/>
  <c r="V7" i="58"/>
  <c r="W7" i="58"/>
  <c r="X7" i="58"/>
  <c r="R8" i="58"/>
  <c r="S8" i="58"/>
  <c r="T8" i="58"/>
  <c r="U8" i="58"/>
  <c r="V8" i="58"/>
  <c r="W8" i="58"/>
  <c r="X8" i="58"/>
  <c r="R9" i="58"/>
  <c r="S9" i="58"/>
  <c r="T9" i="58"/>
  <c r="U9" i="58"/>
  <c r="V9" i="58"/>
  <c r="W9" i="58"/>
  <c r="X9" i="58"/>
  <c r="R10" i="58"/>
  <c r="S10" i="58"/>
  <c r="T10" i="58"/>
  <c r="U10" i="58"/>
  <c r="V10" i="58"/>
  <c r="W10" i="58"/>
  <c r="X10" i="58"/>
  <c r="R11" i="58"/>
  <c r="S11" i="58"/>
  <c r="T11" i="58"/>
  <c r="U11" i="58"/>
  <c r="V11" i="58"/>
  <c r="W11" i="58"/>
  <c r="X11" i="58"/>
  <c r="Q11" i="58"/>
  <c r="Q10" i="58"/>
  <c r="Q9" i="58"/>
  <c r="Q8" i="58"/>
  <c r="Q7" i="58"/>
  <c r="AH7" i="58"/>
  <c r="AM7" i="58"/>
  <c r="AJ8" i="58"/>
  <c r="AK8" i="58"/>
  <c r="AK9" i="58"/>
  <c r="AM9" i="58"/>
  <c r="AN9" i="58"/>
  <c r="AJ10" i="58"/>
  <c r="AK10" i="58"/>
  <c r="AM11" i="58"/>
  <c r="AN11" i="58"/>
  <c r="I55" i="39"/>
  <c r="J55" i="39"/>
  <c r="K55" i="39"/>
  <c r="L55" i="39"/>
  <c r="H55" i="39"/>
  <c r="AL9" i="58" l="1"/>
  <c r="AI10" i="58"/>
  <c r="AH10" i="58"/>
  <c r="AG8" i="58"/>
  <c r="AH9" i="58"/>
  <c r="AM8" i="58"/>
  <c r="AI8" i="58"/>
  <c r="AL7" i="58"/>
  <c r="AI9" i="58"/>
  <c r="AG9" i="58"/>
  <c r="AL8" i="58"/>
  <c r="AH8" i="58"/>
  <c r="AJ11" i="58"/>
  <c r="AN10" i="58"/>
  <c r="AN8" i="58"/>
  <c r="AL11" i="58"/>
  <c r="AI11" i="58"/>
  <c r="AG7" i="58"/>
  <c r="O46" i="48"/>
  <c r="O44" i="48"/>
  <c r="P44" i="48"/>
  <c r="P43" i="48"/>
  <c r="O43" i="48"/>
  <c r="O302" i="47"/>
  <c r="O289" i="47"/>
  <c r="O276" i="47"/>
  <c r="C2" i="38"/>
  <c r="J11" i="46" l="1"/>
  <c r="I38" i="39"/>
  <c r="I40" i="39" s="1"/>
  <c r="J38" i="39"/>
  <c r="J40" i="39" s="1"/>
  <c r="K38" i="39"/>
  <c r="L38" i="39"/>
  <c r="I39" i="39"/>
  <c r="J39" i="39"/>
  <c r="K39" i="39"/>
  <c r="L39" i="39"/>
  <c r="H39" i="39"/>
  <c r="H38" i="39"/>
  <c r="H40" i="39" s="1"/>
  <c r="L40" i="39"/>
  <c r="K40" i="39"/>
  <c r="E40" i="39"/>
  <c r="E39" i="39"/>
  <c r="E38" i="39"/>
  <c r="B38" i="39"/>
  <c r="I374" i="47" l="1"/>
  <c r="H10" i="48"/>
  <c r="B10" i="48"/>
  <c r="C21" i="38"/>
  <c r="C8" i="38"/>
  <c r="C6" i="38"/>
  <c r="E36" i="46" l="1"/>
  <c r="B24" i="49" l="1"/>
  <c r="F37" i="46" l="1"/>
  <c r="G37" i="46"/>
  <c r="H37" i="46"/>
  <c r="I37" i="46"/>
  <c r="E37" i="46"/>
  <c r="P32" i="39"/>
  <c r="O32" i="39"/>
  <c r="L34" i="39"/>
  <c r="K34" i="39"/>
  <c r="J34" i="39"/>
  <c r="I34" i="39"/>
  <c r="H34" i="39"/>
  <c r="E34" i="39"/>
  <c r="E33" i="39"/>
  <c r="E32" i="39"/>
  <c r="P280" i="39"/>
  <c r="P270" i="39"/>
  <c r="H12" i="57"/>
  <c r="G12" i="57"/>
  <c r="F12" i="57"/>
  <c r="E12" i="57"/>
  <c r="D12" i="57"/>
  <c r="I8" i="57"/>
  <c r="H8" i="57"/>
  <c r="G8" i="57"/>
  <c r="F8" i="57"/>
  <c r="E8" i="57"/>
  <c r="D8" i="57"/>
  <c r="B25" i="56"/>
  <c r="B14" i="56" s="1"/>
  <c r="B24" i="56"/>
  <c r="N24" i="56" s="1"/>
  <c r="B23" i="56"/>
  <c r="N23" i="56" s="1"/>
  <c r="N12" i="56" s="1"/>
  <c r="T26" i="56"/>
  <c r="T15" i="56" s="1"/>
  <c r="S26" i="56"/>
  <c r="S15" i="56" s="1"/>
  <c r="R26" i="56"/>
  <c r="Q26" i="56"/>
  <c r="P26" i="56"/>
  <c r="T25" i="56"/>
  <c r="T14" i="56" s="1"/>
  <c r="S25" i="56"/>
  <c r="R25" i="56"/>
  <c r="Q25" i="56"/>
  <c r="P25" i="56"/>
  <c r="T24" i="56"/>
  <c r="S24" i="56"/>
  <c r="S13" i="56" s="1"/>
  <c r="R24" i="56"/>
  <c r="R13" i="56" s="1"/>
  <c r="Q24" i="56"/>
  <c r="P24" i="56"/>
  <c r="T23" i="56"/>
  <c r="T27" i="56" s="1"/>
  <c r="S23" i="56"/>
  <c r="R23" i="56"/>
  <c r="Q23" i="56"/>
  <c r="P23" i="56"/>
  <c r="H26" i="56"/>
  <c r="G26" i="56"/>
  <c r="F26" i="56"/>
  <c r="E26" i="56"/>
  <c r="D26" i="56"/>
  <c r="H25" i="56"/>
  <c r="G25" i="56"/>
  <c r="F25" i="56"/>
  <c r="E25" i="56"/>
  <c r="D25" i="56"/>
  <c r="H24" i="56"/>
  <c r="G24" i="56"/>
  <c r="F24" i="56"/>
  <c r="E24" i="56"/>
  <c r="D24" i="56"/>
  <c r="H23" i="56"/>
  <c r="G23" i="56"/>
  <c r="F23" i="56"/>
  <c r="E23" i="56"/>
  <c r="D23" i="56"/>
  <c r="J62" i="55"/>
  <c r="I62" i="55"/>
  <c r="H62" i="55"/>
  <c r="G62" i="55"/>
  <c r="F62" i="55"/>
  <c r="E62" i="55"/>
  <c r="I48" i="55"/>
  <c r="H48" i="55"/>
  <c r="G48" i="55"/>
  <c r="F48" i="55"/>
  <c r="E48" i="55"/>
  <c r="I43" i="55"/>
  <c r="I44" i="55" s="1"/>
  <c r="H43" i="55"/>
  <c r="G43" i="55"/>
  <c r="F43" i="55"/>
  <c r="E43" i="55"/>
  <c r="I42" i="55"/>
  <c r="H42" i="55"/>
  <c r="G42" i="55"/>
  <c r="F42" i="55"/>
  <c r="E42" i="55"/>
  <c r="I38" i="55"/>
  <c r="I39" i="55" s="1"/>
  <c r="H38" i="55"/>
  <c r="H39" i="55" s="1"/>
  <c r="G38" i="55"/>
  <c r="G39" i="55" s="1"/>
  <c r="F38" i="55"/>
  <c r="E38" i="55"/>
  <c r="I37" i="55"/>
  <c r="H37" i="55"/>
  <c r="G37" i="55"/>
  <c r="F37" i="55"/>
  <c r="E37" i="55"/>
  <c r="E73" i="54"/>
  <c r="E72" i="54"/>
  <c r="E71" i="54"/>
  <c r="E69" i="54"/>
  <c r="E68" i="54"/>
  <c r="U41" i="54"/>
  <c r="T41" i="54"/>
  <c r="S41" i="54"/>
  <c r="R41" i="54"/>
  <c r="Q41" i="54"/>
  <c r="U40" i="54"/>
  <c r="T40" i="54"/>
  <c r="S40" i="54"/>
  <c r="R40" i="54"/>
  <c r="Q40" i="54"/>
  <c r="U39" i="54"/>
  <c r="T39" i="54"/>
  <c r="S39" i="54"/>
  <c r="R39" i="54"/>
  <c r="Q39" i="54"/>
  <c r="U36" i="54"/>
  <c r="T36" i="54"/>
  <c r="S36" i="54"/>
  <c r="R36" i="54"/>
  <c r="Q36" i="54"/>
  <c r="U34" i="54"/>
  <c r="T34" i="54"/>
  <c r="S34" i="54"/>
  <c r="R34" i="54"/>
  <c r="Q34" i="54"/>
  <c r="U33" i="54"/>
  <c r="T33" i="54"/>
  <c r="S33" i="54"/>
  <c r="R33" i="54"/>
  <c r="Q33" i="54"/>
  <c r="I41" i="54"/>
  <c r="H41" i="54"/>
  <c r="G41" i="54"/>
  <c r="F41" i="54"/>
  <c r="E41" i="54"/>
  <c r="I40" i="54"/>
  <c r="H40" i="54"/>
  <c r="G40" i="54"/>
  <c r="F40" i="54"/>
  <c r="E40" i="54"/>
  <c r="I39" i="54"/>
  <c r="H39" i="54"/>
  <c r="G39" i="54"/>
  <c r="F39" i="54"/>
  <c r="E39" i="54"/>
  <c r="I36" i="54"/>
  <c r="H36" i="54"/>
  <c r="G36" i="54"/>
  <c r="F36" i="54"/>
  <c r="E36" i="54"/>
  <c r="I34" i="54"/>
  <c r="H34" i="54"/>
  <c r="G34" i="54"/>
  <c r="F34" i="54"/>
  <c r="E34" i="54"/>
  <c r="I33" i="54"/>
  <c r="H33" i="54"/>
  <c r="G33" i="54"/>
  <c r="F33" i="54"/>
  <c r="F45" i="54" s="1"/>
  <c r="E33" i="54"/>
  <c r="U17" i="54"/>
  <c r="T17" i="54"/>
  <c r="S17" i="54"/>
  <c r="R17" i="54"/>
  <c r="Q17" i="54"/>
  <c r="U16" i="54"/>
  <c r="T16" i="54"/>
  <c r="S16" i="54"/>
  <c r="R16" i="54"/>
  <c r="R24" i="54" s="1"/>
  <c r="Q16" i="54"/>
  <c r="U15" i="54"/>
  <c r="T15" i="54"/>
  <c r="S15" i="54"/>
  <c r="R15" i="54"/>
  <c r="Q15" i="54"/>
  <c r="U14" i="54"/>
  <c r="T14" i="54"/>
  <c r="S14" i="54"/>
  <c r="R14" i="54"/>
  <c r="Q14" i="54"/>
  <c r="U13" i="54"/>
  <c r="T13" i="54"/>
  <c r="S13" i="54"/>
  <c r="S21" i="54" s="1"/>
  <c r="R13" i="54"/>
  <c r="Q13" i="54"/>
  <c r="I17" i="54"/>
  <c r="H17" i="54"/>
  <c r="G17" i="54"/>
  <c r="F17" i="54"/>
  <c r="E17" i="54"/>
  <c r="I16" i="54"/>
  <c r="H16" i="54"/>
  <c r="G16" i="54"/>
  <c r="F16" i="54"/>
  <c r="E16" i="54"/>
  <c r="I15" i="54"/>
  <c r="H15" i="54"/>
  <c r="G15" i="54"/>
  <c r="F15" i="54"/>
  <c r="E15" i="54"/>
  <c r="I14" i="54"/>
  <c r="H14" i="54"/>
  <c r="G14" i="54"/>
  <c r="F14" i="54"/>
  <c r="E14" i="54"/>
  <c r="I13" i="54"/>
  <c r="H13" i="54"/>
  <c r="G13" i="54"/>
  <c r="F13" i="54"/>
  <c r="E13" i="54"/>
  <c r="T4" i="56"/>
  <c r="S4" i="56"/>
  <c r="S14" i="56" s="1"/>
  <c r="R4" i="56"/>
  <c r="Q4" i="56"/>
  <c r="Q12" i="56" s="1"/>
  <c r="P4" i="56"/>
  <c r="P12" i="56" s="1"/>
  <c r="H4" i="56"/>
  <c r="H13" i="56" s="1"/>
  <c r="G4" i="56"/>
  <c r="G12" i="56" s="1"/>
  <c r="F4" i="56"/>
  <c r="F13" i="56" s="1"/>
  <c r="E4" i="56"/>
  <c r="E15" i="56" s="1"/>
  <c r="D4" i="56"/>
  <c r="D13" i="56" s="1"/>
  <c r="I15" i="55"/>
  <c r="H15" i="55"/>
  <c r="G15" i="55"/>
  <c r="F15" i="55"/>
  <c r="E15" i="55"/>
  <c r="I13" i="55"/>
  <c r="H13" i="55"/>
  <c r="G13" i="55"/>
  <c r="F13" i="55"/>
  <c r="E13" i="55"/>
  <c r="I12" i="55"/>
  <c r="H12" i="55"/>
  <c r="G12" i="55"/>
  <c r="F12" i="55"/>
  <c r="E12" i="55"/>
  <c r="I11" i="55"/>
  <c r="H11" i="55"/>
  <c r="G11" i="55"/>
  <c r="F11" i="55"/>
  <c r="E11" i="55"/>
  <c r="I8" i="55"/>
  <c r="I21" i="55" s="1"/>
  <c r="H8" i="55"/>
  <c r="H22" i="55" s="1"/>
  <c r="G8" i="55"/>
  <c r="G21" i="55" s="1"/>
  <c r="F8" i="55"/>
  <c r="E8" i="55"/>
  <c r="U10" i="54"/>
  <c r="T10" i="54"/>
  <c r="S10" i="54"/>
  <c r="R10" i="54"/>
  <c r="Q10" i="54"/>
  <c r="Q23" i="54" s="1"/>
  <c r="I10" i="54"/>
  <c r="H10" i="54"/>
  <c r="G10" i="54"/>
  <c r="F10" i="54"/>
  <c r="E10" i="54"/>
  <c r="AF9" i="60"/>
  <c r="AE9" i="60"/>
  <c r="AD9" i="60"/>
  <c r="AC9" i="60"/>
  <c r="AB9" i="60"/>
  <c r="AA9" i="60"/>
  <c r="Z9" i="60"/>
  <c r="Y9" i="60"/>
  <c r="X9" i="60"/>
  <c r="W9" i="60"/>
  <c r="V9" i="60"/>
  <c r="U9" i="60"/>
  <c r="AK9" i="60" s="1"/>
  <c r="T9" i="60"/>
  <c r="S9" i="60"/>
  <c r="R9" i="60"/>
  <c r="Q9" i="60"/>
  <c r="N9" i="60"/>
  <c r="AF8" i="60"/>
  <c r="AE8" i="60"/>
  <c r="AD8" i="60"/>
  <c r="AC8" i="60"/>
  <c r="AB8" i="60"/>
  <c r="AA8" i="60"/>
  <c r="Z8" i="60"/>
  <c r="Y8" i="60"/>
  <c r="X8" i="60"/>
  <c r="W8" i="60"/>
  <c r="V8" i="60"/>
  <c r="U8" i="60"/>
  <c r="T8" i="60"/>
  <c r="S8" i="60"/>
  <c r="R8" i="60"/>
  <c r="Q8" i="60"/>
  <c r="N8" i="60"/>
  <c r="AF7" i="60"/>
  <c r="AE7" i="60"/>
  <c r="AD7" i="60"/>
  <c r="AC7" i="60"/>
  <c r="AB7" i="60"/>
  <c r="AA7" i="60"/>
  <c r="Z7" i="60"/>
  <c r="Y7" i="60"/>
  <c r="X7" i="60"/>
  <c r="W7" i="60"/>
  <c r="V7" i="60"/>
  <c r="U7" i="60"/>
  <c r="T7" i="60"/>
  <c r="S7" i="60"/>
  <c r="R7" i="60"/>
  <c r="Q7" i="60"/>
  <c r="N7" i="60"/>
  <c r="AF6" i="60"/>
  <c r="AE6" i="60"/>
  <c r="AD6" i="60"/>
  <c r="AC6" i="60"/>
  <c r="AB6" i="60"/>
  <c r="AA6" i="60"/>
  <c r="Z6" i="60"/>
  <c r="Y6" i="60"/>
  <c r="X6" i="60"/>
  <c r="W6" i="60"/>
  <c r="V6" i="60"/>
  <c r="U6" i="60"/>
  <c r="T6" i="60"/>
  <c r="S6" i="60"/>
  <c r="R6" i="60"/>
  <c r="Q6" i="60"/>
  <c r="N6" i="60"/>
  <c r="AF5" i="60"/>
  <c r="AE5" i="60"/>
  <c r="AD5" i="60"/>
  <c r="AC5" i="60"/>
  <c r="AB5" i="60"/>
  <c r="AA5" i="60"/>
  <c r="Z5" i="60"/>
  <c r="Y5" i="60"/>
  <c r="X5" i="60"/>
  <c r="W5" i="60"/>
  <c r="V5" i="60"/>
  <c r="U5" i="60"/>
  <c r="T5" i="60"/>
  <c r="S5" i="60"/>
  <c r="R5" i="60"/>
  <c r="Q5" i="60"/>
  <c r="N5" i="60"/>
  <c r="O9" i="59"/>
  <c r="N9" i="59"/>
  <c r="M9" i="59"/>
  <c r="L9" i="59"/>
  <c r="K9" i="59"/>
  <c r="O8" i="59"/>
  <c r="N8" i="59"/>
  <c r="M8" i="59"/>
  <c r="L8" i="59"/>
  <c r="K8" i="59"/>
  <c r="O7" i="59"/>
  <c r="N7" i="59"/>
  <c r="M7" i="59"/>
  <c r="L7" i="59"/>
  <c r="K7" i="59"/>
  <c r="O6" i="59"/>
  <c r="N6" i="59"/>
  <c r="M6" i="59"/>
  <c r="L6" i="59"/>
  <c r="K6" i="59"/>
  <c r="O5" i="59"/>
  <c r="N5" i="59"/>
  <c r="M5" i="59"/>
  <c r="L5" i="59"/>
  <c r="K5" i="59"/>
  <c r="Y6" i="58"/>
  <c r="Q6" i="58"/>
  <c r="AF5" i="58"/>
  <c r="AE5" i="58"/>
  <c r="AD5" i="58"/>
  <c r="AC5" i="58"/>
  <c r="AB5" i="58"/>
  <c r="AA5" i="58"/>
  <c r="Z5" i="58"/>
  <c r="Y5" i="58"/>
  <c r="X5" i="58"/>
  <c r="W5" i="58"/>
  <c r="V5" i="58"/>
  <c r="U5" i="58"/>
  <c r="T5" i="58"/>
  <c r="S5" i="58"/>
  <c r="R5" i="58"/>
  <c r="Q5" i="58"/>
  <c r="AF4" i="58"/>
  <c r="AE4" i="58"/>
  <c r="AD4" i="58"/>
  <c r="AC4" i="58"/>
  <c r="AB4" i="58"/>
  <c r="AA4" i="58"/>
  <c r="Z4" i="58"/>
  <c r="Y4" i="58"/>
  <c r="X4" i="58"/>
  <c r="W4" i="58"/>
  <c r="V4" i="58"/>
  <c r="U4" i="58"/>
  <c r="T4" i="58"/>
  <c r="S4" i="58"/>
  <c r="R4" i="58"/>
  <c r="Q4" i="58"/>
  <c r="I57" i="55"/>
  <c r="H57" i="55"/>
  <c r="G57" i="55"/>
  <c r="F57" i="55"/>
  <c r="E57" i="55"/>
  <c r="I56" i="55"/>
  <c r="I58" i="55" s="1"/>
  <c r="H56" i="55"/>
  <c r="H58" i="55" s="1"/>
  <c r="G56" i="55"/>
  <c r="G58" i="55" s="1"/>
  <c r="F56" i="55"/>
  <c r="F58" i="55" s="1"/>
  <c r="E56" i="55"/>
  <c r="E58" i="55" s="1"/>
  <c r="I33" i="55"/>
  <c r="H33" i="55"/>
  <c r="G33" i="55"/>
  <c r="F33" i="55"/>
  <c r="E33" i="55"/>
  <c r="I32" i="55"/>
  <c r="I34" i="55" s="1"/>
  <c r="H32" i="55"/>
  <c r="H34" i="55" s="1"/>
  <c r="G32" i="55"/>
  <c r="G34" i="55" s="1"/>
  <c r="F32" i="55"/>
  <c r="F34" i="55" s="1"/>
  <c r="E32" i="55"/>
  <c r="E34" i="55" s="1"/>
  <c r="I28" i="55"/>
  <c r="H28" i="55"/>
  <c r="G28" i="55"/>
  <c r="F28" i="55"/>
  <c r="E28" i="55"/>
  <c r="I27" i="55"/>
  <c r="I29" i="55" s="1"/>
  <c r="H27" i="55"/>
  <c r="H29" i="55" s="1"/>
  <c r="G27" i="55"/>
  <c r="G29" i="55" s="1"/>
  <c r="F27" i="55"/>
  <c r="F29" i="55" s="1"/>
  <c r="E27" i="55"/>
  <c r="E29" i="55" s="1"/>
  <c r="U30" i="54"/>
  <c r="U52" i="54" s="1"/>
  <c r="T30" i="54"/>
  <c r="T48" i="54" s="1"/>
  <c r="S30" i="54"/>
  <c r="S48" i="54" s="1"/>
  <c r="R30" i="54"/>
  <c r="R53" i="54" s="1"/>
  <c r="Q30" i="54"/>
  <c r="Q53" i="54" s="1"/>
  <c r="I30" i="54"/>
  <c r="H30" i="54"/>
  <c r="G30" i="54"/>
  <c r="F30" i="54"/>
  <c r="E30" i="54"/>
  <c r="AA8" i="53"/>
  <c r="AM8" i="53" s="1"/>
  <c r="Z8" i="53"/>
  <c r="AL8" i="53" s="1"/>
  <c r="Y8" i="53"/>
  <c r="X8" i="53"/>
  <c r="AJ8" i="53" s="1"/>
  <c r="W8" i="53"/>
  <c r="AI8" i="53" s="1"/>
  <c r="U8" i="53"/>
  <c r="T8" i="53"/>
  <c r="S8" i="53"/>
  <c r="R8" i="53"/>
  <c r="Q8" i="53"/>
  <c r="AA6" i="53"/>
  <c r="AM6" i="53" s="1"/>
  <c r="Z6" i="53"/>
  <c r="AL6" i="53" s="1"/>
  <c r="Y6" i="53"/>
  <c r="AK6" i="53" s="1"/>
  <c r="X6" i="53"/>
  <c r="AJ6" i="53" s="1"/>
  <c r="W6" i="53"/>
  <c r="AI6" i="53" s="1"/>
  <c r="U6" i="53"/>
  <c r="T6" i="53"/>
  <c r="S6" i="53"/>
  <c r="R6" i="53"/>
  <c r="Q6" i="53"/>
  <c r="A5" i="60"/>
  <c r="B5" i="60" s="1"/>
  <c r="B6" i="60" s="1"/>
  <c r="B7" i="60" s="1"/>
  <c r="B8" i="60" s="1"/>
  <c r="B9" i="60" s="1"/>
  <c r="A5" i="59"/>
  <c r="A4" i="58"/>
  <c r="A5" i="58" s="1"/>
  <c r="C8" i="57"/>
  <c r="C12" i="57" s="1"/>
  <c r="B8" i="56"/>
  <c r="N8" i="56" s="1"/>
  <c r="C6" i="55"/>
  <c r="C6" i="54"/>
  <c r="C66" i="54" s="1"/>
  <c r="A6" i="53"/>
  <c r="A7" i="53" s="1"/>
  <c r="A6" i="52"/>
  <c r="A7" i="52" s="1"/>
  <c r="A8" i="52" s="1"/>
  <c r="A9" i="52" s="1"/>
  <c r="P6" i="60"/>
  <c r="P7" i="60" s="1"/>
  <c r="P8" i="60" s="1"/>
  <c r="P9" i="60" s="1"/>
  <c r="G6" i="60"/>
  <c r="G7" i="60" s="1"/>
  <c r="G8" i="60" s="1"/>
  <c r="G9" i="60" s="1"/>
  <c r="C6" i="60"/>
  <c r="C7" i="60" s="1"/>
  <c r="C8" i="60" s="1"/>
  <c r="C9" i="60" s="1"/>
  <c r="C6" i="59"/>
  <c r="C7" i="59" s="1"/>
  <c r="C8" i="59" s="1"/>
  <c r="C9" i="59" s="1"/>
  <c r="B6" i="59"/>
  <c r="B7" i="59" s="1"/>
  <c r="B8" i="59" s="1"/>
  <c r="B9" i="59" s="1"/>
  <c r="A6" i="59"/>
  <c r="A7" i="59" s="1"/>
  <c r="A8" i="59" s="1"/>
  <c r="A9" i="59" s="1"/>
  <c r="O4" i="59"/>
  <c r="N4" i="59"/>
  <c r="M4" i="59"/>
  <c r="L4" i="59"/>
  <c r="K4" i="59"/>
  <c r="H5" i="58"/>
  <c r="H6" i="58" s="1"/>
  <c r="H7" i="58" s="1"/>
  <c r="H8" i="58" s="1"/>
  <c r="H9" i="58" s="1"/>
  <c r="H10" i="58" s="1"/>
  <c r="H11" i="58" s="1"/>
  <c r="D5" i="58"/>
  <c r="D6" i="58" s="1"/>
  <c r="D7" i="58" s="1"/>
  <c r="D8" i="58" s="1"/>
  <c r="D9" i="58" s="1"/>
  <c r="D10" i="58" s="1"/>
  <c r="D11" i="58" s="1"/>
  <c r="C5" i="58"/>
  <c r="C6" i="58" s="1"/>
  <c r="C7" i="58" s="1"/>
  <c r="C8" i="58" s="1"/>
  <c r="C9" i="58" s="1"/>
  <c r="C10" i="58" s="1"/>
  <c r="C11" i="58" s="1"/>
  <c r="AF3" i="58"/>
  <c r="AN3" i="58" s="1"/>
  <c r="AE3" i="58"/>
  <c r="AM3" i="58" s="1"/>
  <c r="AD3" i="58"/>
  <c r="AL3" i="58" s="1"/>
  <c r="AC3" i="58"/>
  <c r="AK3" i="58" s="1"/>
  <c r="AB3" i="58"/>
  <c r="AJ3" i="58" s="1"/>
  <c r="AA3" i="58"/>
  <c r="AI3" i="58" s="1"/>
  <c r="Z3" i="58"/>
  <c r="AH3" i="58" s="1"/>
  <c r="Y3" i="58"/>
  <c r="AG3" i="58" s="1"/>
  <c r="C15" i="57"/>
  <c r="R14" i="56"/>
  <c r="Q14" i="56"/>
  <c r="P14" i="56"/>
  <c r="T13" i="56"/>
  <c r="N18" i="56"/>
  <c r="N16" i="56"/>
  <c r="C16" i="56"/>
  <c r="J16" i="56" s="1"/>
  <c r="O15" i="56"/>
  <c r="V15" i="56" s="1"/>
  <c r="C15" i="56"/>
  <c r="J15" i="56" s="1"/>
  <c r="B15" i="56"/>
  <c r="N15" i="56" s="1"/>
  <c r="T10" i="56"/>
  <c r="S10" i="56"/>
  <c r="R10" i="56"/>
  <c r="Q10" i="56"/>
  <c r="P10" i="56"/>
  <c r="O10" i="56"/>
  <c r="V10" i="56" s="1"/>
  <c r="N10" i="56"/>
  <c r="J10" i="56"/>
  <c r="S9" i="56"/>
  <c r="P8" i="56"/>
  <c r="L62" i="55"/>
  <c r="C58" i="55"/>
  <c r="L55" i="55"/>
  <c r="L53" i="55"/>
  <c r="L52" i="55"/>
  <c r="L51" i="55"/>
  <c r="D49" i="55"/>
  <c r="L49" i="55" s="1"/>
  <c r="C49" i="55"/>
  <c r="L46" i="55"/>
  <c r="D44" i="55"/>
  <c r="L44" i="55" s="1"/>
  <c r="C44" i="55"/>
  <c r="D43" i="55"/>
  <c r="L43" i="55" s="1"/>
  <c r="C43" i="55"/>
  <c r="C48" i="55" s="1"/>
  <c r="D42" i="55"/>
  <c r="L42" i="55" s="1"/>
  <c r="C42" i="55"/>
  <c r="C47" i="55" s="1"/>
  <c r="L41" i="55"/>
  <c r="L39" i="55"/>
  <c r="L38" i="55"/>
  <c r="L37" i="55"/>
  <c r="L36" i="55"/>
  <c r="D34" i="55"/>
  <c r="L34" i="55" s="1"/>
  <c r="C34" i="55"/>
  <c r="D33" i="55"/>
  <c r="L33" i="55" s="1"/>
  <c r="C33" i="55"/>
  <c r="C57" i="55" s="1"/>
  <c r="D32" i="55"/>
  <c r="L32" i="55" s="1"/>
  <c r="C32" i="55"/>
  <c r="C56" i="55" s="1"/>
  <c r="L31" i="55"/>
  <c r="L29" i="55"/>
  <c r="L28" i="55"/>
  <c r="L27" i="55"/>
  <c r="L26" i="55"/>
  <c r="L24" i="55"/>
  <c r="D23" i="55"/>
  <c r="L23" i="55" s="1"/>
  <c r="C23" i="55"/>
  <c r="D22" i="55"/>
  <c r="L22" i="55" s="1"/>
  <c r="C22" i="55"/>
  <c r="D21" i="55"/>
  <c r="L21" i="55" s="1"/>
  <c r="C21" i="55"/>
  <c r="D20" i="55"/>
  <c r="L20" i="55" s="1"/>
  <c r="C20" i="55"/>
  <c r="D19" i="55"/>
  <c r="L19" i="55" s="1"/>
  <c r="C19" i="55"/>
  <c r="L18" i="55"/>
  <c r="L16" i="55"/>
  <c r="L15" i="55"/>
  <c r="L14" i="55"/>
  <c r="L13" i="55"/>
  <c r="L12" i="55"/>
  <c r="L11" i="55"/>
  <c r="L10" i="55"/>
  <c r="L8" i="55"/>
  <c r="O58" i="54"/>
  <c r="O57" i="54"/>
  <c r="O56" i="54"/>
  <c r="D54" i="54"/>
  <c r="K54" i="54" s="1"/>
  <c r="C54" i="54"/>
  <c r="D53" i="54"/>
  <c r="K53" i="54" s="1"/>
  <c r="C53" i="54"/>
  <c r="D52" i="54"/>
  <c r="K52" i="54" s="1"/>
  <c r="C52" i="54"/>
  <c r="D51" i="54"/>
  <c r="K51" i="54" s="1"/>
  <c r="C51" i="54"/>
  <c r="D50" i="54"/>
  <c r="K50" i="54" s="1"/>
  <c r="C50" i="54"/>
  <c r="D49" i="54"/>
  <c r="K49" i="54" s="1"/>
  <c r="C49" i="54"/>
  <c r="D48" i="54"/>
  <c r="K48" i="54" s="1"/>
  <c r="C48" i="54"/>
  <c r="D47" i="54"/>
  <c r="K47" i="54" s="1"/>
  <c r="C47" i="54"/>
  <c r="P46" i="54"/>
  <c r="W46" i="54" s="1"/>
  <c r="D46" i="54"/>
  <c r="K46" i="54" s="1"/>
  <c r="C46" i="54"/>
  <c r="D45" i="54"/>
  <c r="K45" i="54" s="1"/>
  <c r="C45" i="54"/>
  <c r="D44" i="54"/>
  <c r="K44" i="54" s="1"/>
  <c r="C44" i="54"/>
  <c r="P42" i="54"/>
  <c r="W42" i="54" s="1"/>
  <c r="O42" i="54"/>
  <c r="O54" i="54" s="1"/>
  <c r="K42" i="54"/>
  <c r="P41" i="54"/>
  <c r="P53" i="54" s="1"/>
  <c r="W53" i="54" s="1"/>
  <c r="O41" i="54"/>
  <c r="O53" i="54" s="1"/>
  <c r="K41" i="54"/>
  <c r="P40" i="54"/>
  <c r="W40" i="54" s="1"/>
  <c r="O40" i="54"/>
  <c r="O52" i="54" s="1"/>
  <c r="K40" i="54"/>
  <c r="P39" i="54"/>
  <c r="O39" i="54"/>
  <c r="O51" i="54" s="1"/>
  <c r="K39" i="54"/>
  <c r="P38" i="54"/>
  <c r="W38" i="54" s="1"/>
  <c r="O38" i="54"/>
  <c r="O50" i="54" s="1"/>
  <c r="K38" i="54"/>
  <c r="P37" i="54"/>
  <c r="W37" i="54" s="1"/>
  <c r="O37" i="54"/>
  <c r="O49" i="54" s="1"/>
  <c r="K37" i="54"/>
  <c r="P36" i="54"/>
  <c r="W36" i="54" s="1"/>
  <c r="O36" i="54"/>
  <c r="O48" i="54" s="1"/>
  <c r="K36" i="54"/>
  <c r="P35" i="54"/>
  <c r="P47" i="54" s="1"/>
  <c r="W47" i="54" s="1"/>
  <c r="O35" i="54"/>
  <c r="O47" i="54" s="1"/>
  <c r="K35" i="54"/>
  <c r="P34" i="54"/>
  <c r="W34" i="54" s="1"/>
  <c r="O34" i="54"/>
  <c r="O46" i="54" s="1"/>
  <c r="K34" i="54"/>
  <c r="P33" i="54"/>
  <c r="O33" i="54"/>
  <c r="O45" i="54" s="1"/>
  <c r="K33" i="54"/>
  <c r="P32" i="54"/>
  <c r="W32" i="54" s="1"/>
  <c r="O32" i="54"/>
  <c r="K32" i="54"/>
  <c r="P30" i="54"/>
  <c r="W30" i="54" s="1"/>
  <c r="O30" i="54"/>
  <c r="K30" i="54"/>
  <c r="P28" i="54"/>
  <c r="W28" i="54" s="1"/>
  <c r="O28" i="54"/>
  <c r="K28" i="54"/>
  <c r="D26" i="54"/>
  <c r="K26" i="54" s="1"/>
  <c r="C26" i="54"/>
  <c r="D25" i="54"/>
  <c r="K25" i="54" s="1"/>
  <c r="C25" i="54"/>
  <c r="D24" i="54"/>
  <c r="K24" i="54" s="1"/>
  <c r="C24" i="54"/>
  <c r="D23" i="54"/>
  <c r="K23" i="54" s="1"/>
  <c r="C23" i="54"/>
  <c r="D22" i="54"/>
  <c r="K22" i="54" s="1"/>
  <c r="C22" i="54"/>
  <c r="D21" i="54"/>
  <c r="K21" i="54" s="1"/>
  <c r="C21" i="54"/>
  <c r="P20" i="54"/>
  <c r="W20" i="54" s="1"/>
  <c r="O20" i="54"/>
  <c r="O44" i="54" s="1"/>
  <c r="K20" i="54"/>
  <c r="P18" i="54"/>
  <c r="W18" i="54" s="1"/>
  <c r="O18" i="54"/>
  <c r="O26" i="54" s="1"/>
  <c r="K18" i="54"/>
  <c r="R25" i="54"/>
  <c r="P17" i="54"/>
  <c r="P25" i="54" s="1"/>
  <c r="W25" i="54" s="1"/>
  <c r="O17" i="54"/>
  <c r="O25" i="54" s="1"/>
  <c r="K17" i="54"/>
  <c r="P16" i="54"/>
  <c r="P24" i="54" s="1"/>
  <c r="W24" i="54" s="1"/>
  <c r="O16" i="54"/>
  <c r="O24" i="54" s="1"/>
  <c r="K16" i="54"/>
  <c r="P15" i="54"/>
  <c r="P23" i="54" s="1"/>
  <c r="W23" i="54" s="1"/>
  <c r="O15" i="54"/>
  <c r="O23" i="54" s="1"/>
  <c r="K15" i="54"/>
  <c r="P14" i="54"/>
  <c r="W14" i="54" s="1"/>
  <c r="O14" i="54"/>
  <c r="O22" i="54" s="1"/>
  <c r="K14" i="54"/>
  <c r="P13" i="54"/>
  <c r="O13" i="54"/>
  <c r="O21" i="54" s="1"/>
  <c r="K13" i="54"/>
  <c r="P12" i="54"/>
  <c r="W12" i="54" s="1"/>
  <c r="O12" i="54"/>
  <c r="K12" i="54"/>
  <c r="P10" i="54"/>
  <c r="W10" i="54" s="1"/>
  <c r="O10" i="54"/>
  <c r="K10" i="54"/>
  <c r="P9" i="54"/>
  <c r="W9" i="54" s="1"/>
  <c r="O9" i="54"/>
  <c r="K9" i="54"/>
  <c r="W7" i="54"/>
  <c r="K7" i="54"/>
  <c r="AH8" i="53"/>
  <c r="H7" i="53"/>
  <c r="H8" i="53" s="1"/>
  <c r="D7" i="53"/>
  <c r="D8" i="53" s="1"/>
  <c r="C7" i="53"/>
  <c r="C8" i="53" s="1"/>
  <c r="AH6" i="53"/>
  <c r="B7" i="52"/>
  <c r="B8" i="52" s="1"/>
  <c r="B9" i="52" s="1"/>
  <c r="K84" i="46"/>
  <c r="K80" i="46"/>
  <c r="K77" i="46"/>
  <c r="K73" i="46"/>
  <c r="K69" i="46"/>
  <c r="I84" i="46"/>
  <c r="I80" i="46"/>
  <c r="I77" i="46"/>
  <c r="I73" i="46"/>
  <c r="I69" i="46"/>
  <c r="G84" i="46"/>
  <c r="G80" i="46"/>
  <c r="G77" i="46"/>
  <c r="G73" i="46"/>
  <c r="G69" i="46"/>
  <c r="E84" i="46"/>
  <c r="E80" i="46"/>
  <c r="E77" i="46"/>
  <c r="E73" i="46"/>
  <c r="E69" i="46"/>
  <c r="C84" i="46"/>
  <c r="C80" i="46"/>
  <c r="C77" i="46"/>
  <c r="C73" i="46"/>
  <c r="C69" i="46"/>
  <c r="K64" i="46"/>
  <c r="K60" i="46"/>
  <c r="K57" i="46"/>
  <c r="I64" i="46"/>
  <c r="I60" i="46"/>
  <c r="G64" i="46"/>
  <c r="G60" i="46"/>
  <c r="E64" i="46"/>
  <c r="E60" i="46"/>
  <c r="C64" i="46"/>
  <c r="C60" i="46"/>
  <c r="I57" i="46"/>
  <c r="G57" i="46"/>
  <c r="E57" i="46"/>
  <c r="C57" i="46"/>
  <c r="K53" i="46"/>
  <c r="I53" i="46"/>
  <c r="G53" i="46"/>
  <c r="E53" i="46"/>
  <c r="C53" i="46"/>
  <c r="K49" i="46"/>
  <c r="I49" i="46"/>
  <c r="G49" i="46"/>
  <c r="E49" i="46"/>
  <c r="C49" i="46"/>
  <c r="P191" i="43"/>
  <c r="J53" i="42"/>
  <c r="B7" i="53" l="1"/>
  <c r="A8" i="53"/>
  <c r="B8" i="53" s="1"/>
  <c r="F18" i="54"/>
  <c r="F35" i="54" s="1"/>
  <c r="F37" i="54" s="1"/>
  <c r="Q18" i="54"/>
  <c r="AN4" i="58"/>
  <c r="AG5" i="60"/>
  <c r="AJ6" i="60"/>
  <c r="B35" i="39"/>
  <c r="AL9" i="60"/>
  <c r="AG9" i="60"/>
  <c r="AK8" i="60"/>
  <c r="AL8" i="60"/>
  <c r="AF6" i="53"/>
  <c r="AE8" i="53"/>
  <c r="AL4" i="58"/>
  <c r="AM6" i="60"/>
  <c r="AG6" i="53"/>
  <c r="AN6" i="60"/>
  <c r="D56" i="55"/>
  <c r="L56" i="55" s="1"/>
  <c r="AJ7" i="60"/>
  <c r="AG5" i="58"/>
  <c r="D12" i="56"/>
  <c r="Q27" i="56"/>
  <c r="F38" i="54"/>
  <c r="F42" i="54" s="1"/>
  <c r="F54" i="54" s="1"/>
  <c r="Q24" i="54"/>
  <c r="D57" i="55"/>
  <c r="L57" i="55" s="1"/>
  <c r="F15" i="56"/>
  <c r="I18" i="54"/>
  <c r="I35" i="54" s="1"/>
  <c r="I47" i="54" s="1"/>
  <c r="T18" i="54"/>
  <c r="T35" i="54" s="1"/>
  <c r="T37" i="54" s="1"/>
  <c r="O16" i="56"/>
  <c r="V16" i="56" s="1"/>
  <c r="E18" i="54"/>
  <c r="E35" i="54" s="1"/>
  <c r="AD6" i="53"/>
  <c r="AE6" i="53"/>
  <c r="I52" i="54"/>
  <c r="AK4" i="58"/>
  <c r="G21" i="54"/>
  <c r="U18" i="54"/>
  <c r="U35" i="54" s="1"/>
  <c r="U37" i="54" s="1"/>
  <c r="H21" i="54"/>
  <c r="I53" i="54"/>
  <c r="G44" i="55"/>
  <c r="AM8" i="60"/>
  <c r="F21" i="55"/>
  <c r="T51" i="54"/>
  <c r="AL7" i="60"/>
  <c r="AG8" i="60"/>
  <c r="AN9" i="60"/>
  <c r="C23" i="56"/>
  <c r="C12" i="56" s="1"/>
  <c r="J12" i="56" s="1"/>
  <c r="AK5" i="60"/>
  <c r="AM7" i="60"/>
  <c r="I21" i="54"/>
  <c r="E39" i="55"/>
  <c r="AH9" i="60"/>
  <c r="AN8" i="60"/>
  <c r="R23" i="54"/>
  <c r="AH8" i="60"/>
  <c r="T52" i="54"/>
  <c r="AK6" i="60"/>
  <c r="W15" i="54"/>
  <c r="P52" i="54"/>
  <c r="W52" i="54" s="1"/>
  <c r="AK5" i="58"/>
  <c r="I48" i="54"/>
  <c r="F51" i="54"/>
  <c r="B12" i="56"/>
  <c r="Q13" i="56"/>
  <c r="I51" i="54"/>
  <c r="AG6" i="58"/>
  <c r="AI9" i="60"/>
  <c r="G51" i="54"/>
  <c r="E46" i="54"/>
  <c r="AG4" i="58"/>
  <c r="AK6" i="58"/>
  <c r="AN5" i="60"/>
  <c r="AI6" i="60"/>
  <c r="I45" i="54"/>
  <c r="H53" i="54"/>
  <c r="S52" i="54"/>
  <c r="S27" i="56"/>
  <c r="S16" i="56" s="1"/>
  <c r="P15" i="56"/>
  <c r="T16" i="56"/>
  <c r="Q15" i="56"/>
  <c r="P48" i="54"/>
  <c r="W48" i="54" s="1"/>
  <c r="P54" i="54"/>
  <c r="W54" i="54" s="1"/>
  <c r="AI4" i="58"/>
  <c r="AM6" i="58"/>
  <c r="F39" i="55"/>
  <c r="H44" i="55"/>
  <c r="R15" i="56"/>
  <c r="D58" i="55"/>
  <c r="L58" i="55" s="1"/>
  <c r="W17" i="54"/>
  <c r="P22" i="54"/>
  <c r="W22" i="54" s="1"/>
  <c r="W41" i="54"/>
  <c r="F46" i="54"/>
  <c r="AJ4" i="58"/>
  <c r="D48" i="55"/>
  <c r="L48" i="55" s="1"/>
  <c r="H18" i="54"/>
  <c r="H35" i="54" s="1"/>
  <c r="W35" i="54"/>
  <c r="P26" i="54"/>
  <c r="W26" i="54" s="1"/>
  <c r="AH7" i="60"/>
  <c r="H14" i="55"/>
  <c r="H53" i="55" s="1"/>
  <c r="R18" i="54"/>
  <c r="R35" i="54" s="1"/>
  <c r="R37" i="54" s="1"/>
  <c r="R49" i="54" s="1"/>
  <c r="P49" i="54"/>
  <c r="W49" i="54" s="1"/>
  <c r="AI7" i="60"/>
  <c r="E22" i="54"/>
  <c r="I14" i="55"/>
  <c r="S18" i="54"/>
  <c r="S35" i="54" s="1"/>
  <c r="S37" i="54" s="1"/>
  <c r="S49" i="54" s="1"/>
  <c r="P27" i="56"/>
  <c r="P16" i="56" s="1"/>
  <c r="W16" i="54"/>
  <c r="AI5" i="58"/>
  <c r="AH5" i="60"/>
  <c r="AL5" i="60"/>
  <c r="F22" i="54"/>
  <c r="AJ5" i="58"/>
  <c r="AK7" i="60"/>
  <c r="G18" i="54"/>
  <c r="G35" i="54" s="1"/>
  <c r="D14" i="56"/>
  <c r="R12" i="56"/>
  <c r="AC6" i="53"/>
  <c r="G45" i="54"/>
  <c r="AH4" i="58"/>
  <c r="AL6" i="58"/>
  <c r="AM5" i="60"/>
  <c r="AH6" i="60"/>
  <c r="AJ8" i="60"/>
  <c r="H45" i="54"/>
  <c r="R52" i="54"/>
  <c r="AG6" i="60"/>
  <c r="AN7" i="60"/>
  <c r="AI8" i="60"/>
  <c r="AG8" i="53"/>
  <c r="AM4" i="58"/>
  <c r="AJ9" i="60"/>
  <c r="AN6" i="58"/>
  <c r="AC8" i="53"/>
  <c r="Q52" i="54"/>
  <c r="AD8" i="53"/>
  <c r="AK8" i="53"/>
  <c r="AH5" i="58"/>
  <c r="AL5" i="58"/>
  <c r="AH6" i="58"/>
  <c r="AI5" i="60"/>
  <c r="AL6" i="60"/>
  <c r="AG7" i="60"/>
  <c r="AM9" i="60"/>
  <c r="AM5" i="58"/>
  <c r="AI6" i="58"/>
  <c r="AJ5" i="60"/>
  <c r="E45" i="54"/>
  <c r="AN5" i="58"/>
  <c r="AJ6" i="58"/>
  <c r="F24" i="54"/>
  <c r="D15" i="56"/>
  <c r="I23" i="54"/>
  <c r="F14" i="56"/>
  <c r="F12" i="56"/>
  <c r="E21" i="55"/>
  <c r="F21" i="54"/>
  <c r="G15" i="56"/>
  <c r="H15" i="56"/>
  <c r="H21" i="55"/>
  <c r="E14" i="56"/>
  <c r="G14" i="56"/>
  <c r="E12" i="56"/>
  <c r="F14" i="55"/>
  <c r="F22" i="55" s="1"/>
  <c r="H14" i="56"/>
  <c r="G14" i="55"/>
  <c r="G53" i="55" s="1"/>
  <c r="H24" i="54"/>
  <c r="F25" i="54"/>
  <c r="I24" i="54"/>
  <c r="Q16" i="56"/>
  <c r="G24" i="54"/>
  <c r="E13" i="56"/>
  <c r="E14" i="55"/>
  <c r="E52" i="55" s="1"/>
  <c r="P13" i="56"/>
  <c r="E21" i="54"/>
  <c r="E24" i="54"/>
  <c r="G23" i="54"/>
  <c r="R27" i="56"/>
  <c r="R16" i="56" s="1"/>
  <c r="H23" i="54"/>
  <c r="Q22" i="54"/>
  <c r="A6" i="60"/>
  <c r="A7" i="60" s="1"/>
  <c r="A8" i="60" s="1"/>
  <c r="A9" i="60" s="1"/>
  <c r="G13" i="56"/>
  <c r="H12" i="56"/>
  <c r="R22" i="54"/>
  <c r="E25" i="54"/>
  <c r="B5" i="58"/>
  <c r="A6" i="58"/>
  <c r="B4" i="58"/>
  <c r="O24" i="56"/>
  <c r="O13" i="56" s="1"/>
  <c r="V13" i="56" s="1"/>
  <c r="N13" i="56"/>
  <c r="C24" i="56"/>
  <c r="C13" i="56" s="1"/>
  <c r="J13" i="56" s="1"/>
  <c r="D27" i="56"/>
  <c r="D16" i="56" s="1"/>
  <c r="S12" i="56"/>
  <c r="C25" i="56"/>
  <c r="C14" i="56" s="1"/>
  <c r="J14" i="56" s="1"/>
  <c r="E27" i="56"/>
  <c r="E16" i="56" s="1"/>
  <c r="T12" i="56"/>
  <c r="F27" i="56"/>
  <c r="F16" i="56" s="1"/>
  <c r="G27" i="56"/>
  <c r="G16" i="56" s="1"/>
  <c r="B13" i="56"/>
  <c r="O23" i="56"/>
  <c r="O12" i="56" s="1"/>
  <c r="V12" i="56" s="1"/>
  <c r="H27" i="56"/>
  <c r="H16" i="56" s="1"/>
  <c r="N25" i="56"/>
  <c r="I22" i="55"/>
  <c r="E53" i="55"/>
  <c r="F53" i="55"/>
  <c r="I52" i="55"/>
  <c r="I53" i="55"/>
  <c r="E20" i="55"/>
  <c r="E23" i="55"/>
  <c r="F20" i="55"/>
  <c r="G20" i="55"/>
  <c r="G23" i="55"/>
  <c r="F52" i="55"/>
  <c r="H20" i="55"/>
  <c r="H23" i="55"/>
  <c r="G52" i="55"/>
  <c r="E19" i="55"/>
  <c r="I20" i="55"/>
  <c r="I23" i="55"/>
  <c r="H52" i="55"/>
  <c r="F23" i="55"/>
  <c r="D47" i="55"/>
  <c r="L47" i="55" s="1"/>
  <c r="F19" i="55"/>
  <c r="E44" i="55"/>
  <c r="G19" i="55"/>
  <c r="F44" i="55"/>
  <c r="H19" i="55"/>
  <c r="I19" i="55"/>
  <c r="S38" i="54"/>
  <c r="S42" i="54" s="1"/>
  <c r="S54" i="54" s="1"/>
  <c r="Q35" i="54"/>
  <c r="Q37" i="54" s="1"/>
  <c r="Q38" i="54" s="1"/>
  <c r="Q26" i="54"/>
  <c r="T49" i="54"/>
  <c r="T38" i="54"/>
  <c r="T42" i="54" s="1"/>
  <c r="T54" i="54" s="1"/>
  <c r="E37" i="54"/>
  <c r="E38" i="54" s="1"/>
  <c r="Q25" i="54"/>
  <c r="S24" i="54"/>
  <c r="T26" i="54"/>
  <c r="T23" i="54"/>
  <c r="E26" i="54"/>
  <c r="E23" i="54"/>
  <c r="H51" i="54"/>
  <c r="E52" i="54"/>
  <c r="S23" i="54"/>
  <c r="S25" i="54"/>
  <c r="T24" i="54"/>
  <c r="T25" i="54"/>
  <c r="E51" i="54"/>
  <c r="U23" i="54"/>
  <c r="S22" i="54"/>
  <c r="U24" i="54"/>
  <c r="U25" i="54"/>
  <c r="Q51" i="54"/>
  <c r="Q48" i="54"/>
  <c r="Q45" i="54"/>
  <c r="Q46" i="54"/>
  <c r="U48" i="54"/>
  <c r="F26" i="54"/>
  <c r="F23" i="54"/>
  <c r="P21" i="54"/>
  <c r="W21" i="54" s="1"/>
  <c r="W13" i="54"/>
  <c r="T21" i="54"/>
  <c r="T22" i="54"/>
  <c r="R51" i="54"/>
  <c r="R48" i="54"/>
  <c r="R45" i="54"/>
  <c r="R46" i="54"/>
  <c r="G25" i="54"/>
  <c r="G22" i="54"/>
  <c r="U21" i="54"/>
  <c r="U22" i="54"/>
  <c r="S51" i="54"/>
  <c r="S53" i="54"/>
  <c r="S45" i="54"/>
  <c r="S46" i="54"/>
  <c r="H25" i="54"/>
  <c r="H22" i="54"/>
  <c r="T53" i="54"/>
  <c r="T47" i="54"/>
  <c r="T45" i="54"/>
  <c r="T46" i="54"/>
  <c r="I25" i="54"/>
  <c r="I22" i="54"/>
  <c r="E53" i="54"/>
  <c r="E47" i="54"/>
  <c r="U53" i="54"/>
  <c r="U45" i="54"/>
  <c r="U46" i="54"/>
  <c r="E48" i="54"/>
  <c r="O6" i="54"/>
  <c r="F53" i="54"/>
  <c r="F50" i="54"/>
  <c r="F47" i="54"/>
  <c r="F52" i="54"/>
  <c r="F49" i="54"/>
  <c r="W33" i="54"/>
  <c r="P45" i="54"/>
  <c r="W45" i="54" s="1"/>
  <c r="W39" i="54"/>
  <c r="P51" i="54"/>
  <c r="W51" i="54" s="1"/>
  <c r="F48" i="54"/>
  <c r="U51" i="54"/>
  <c r="I26" i="54"/>
  <c r="G53" i="54"/>
  <c r="G52" i="54"/>
  <c r="G46" i="54"/>
  <c r="G48" i="54"/>
  <c r="H52" i="54"/>
  <c r="H46" i="54"/>
  <c r="H48" i="54"/>
  <c r="P50" i="54"/>
  <c r="W50" i="54" s="1"/>
  <c r="Q21" i="54"/>
  <c r="P44" i="54"/>
  <c r="W44" i="54" s="1"/>
  <c r="I46" i="54"/>
  <c r="R21" i="54"/>
  <c r="B6" i="53"/>
  <c r="AF8" i="53"/>
  <c r="P148" i="39"/>
  <c r="B6" i="58" l="1"/>
  <c r="A7" i="58"/>
  <c r="I37" i="54"/>
  <c r="R47" i="54"/>
  <c r="R38" i="54"/>
  <c r="R42" i="54" s="1"/>
  <c r="R54" i="54" s="1"/>
  <c r="R26" i="54"/>
  <c r="U38" i="54"/>
  <c r="U42" i="54" s="1"/>
  <c r="U54" i="54" s="1"/>
  <c r="U49" i="54"/>
  <c r="H47" i="54"/>
  <c r="H37" i="54"/>
  <c r="H38" i="54" s="1"/>
  <c r="H42" i="54" s="1"/>
  <c r="H54" i="54" s="1"/>
  <c r="U47" i="54"/>
  <c r="U26" i="54"/>
  <c r="H26" i="54"/>
  <c r="S47" i="54"/>
  <c r="S26" i="54"/>
  <c r="G47" i="54"/>
  <c r="G37" i="54"/>
  <c r="G49" i="54" s="1"/>
  <c r="G26" i="54"/>
  <c r="R50" i="54"/>
  <c r="E22" i="55"/>
  <c r="G22" i="55"/>
  <c r="S50" i="54"/>
  <c r="Q49" i="54"/>
  <c r="Q47" i="54"/>
  <c r="O25" i="56"/>
  <c r="O14" i="56" s="1"/>
  <c r="V14" i="56" s="1"/>
  <c r="N14" i="56"/>
  <c r="E42" i="54"/>
  <c r="E54" i="54" s="1"/>
  <c r="E50" i="54"/>
  <c r="Q42" i="54"/>
  <c r="Q54" i="54" s="1"/>
  <c r="Q50" i="54"/>
  <c r="E49" i="54"/>
  <c r="G38" i="54"/>
  <c r="U50" i="54"/>
  <c r="T50" i="54"/>
  <c r="O148" i="39"/>
  <c r="B22" i="49"/>
  <c r="B7" i="58" l="1"/>
  <c r="A8" i="58"/>
  <c r="H49" i="54"/>
  <c r="H50" i="54"/>
  <c r="I38" i="54"/>
  <c r="I49" i="54"/>
  <c r="G42" i="54"/>
  <c r="G54" i="54" s="1"/>
  <c r="G50" i="54"/>
  <c r="P8" i="47"/>
  <c r="P302" i="47"/>
  <c r="P289" i="47"/>
  <c r="P276" i="47"/>
  <c r="A9" i="58" l="1"/>
  <c r="B8" i="58"/>
  <c r="I42" i="54"/>
  <c r="I54" i="54" s="1"/>
  <c r="I50" i="54"/>
  <c r="O436" i="47"/>
  <c r="A10" i="58" l="1"/>
  <c r="B9" i="58"/>
  <c r="F36" i="46"/>
  <c r="J7" i="52" s="1"/>
  <c r="G36" i="46"/>
  <c r="K7" i="52" s="1"/>
  <c r="H36" i="46"/>
  <c r="L7" i="52" s="1"/>
  <c r="I36" i="46"/>
  <c r="M7" i="52" s="1"/>
  <c r="F38" i="46"/>
  <c r="J8" i="52" s="1"/>
  <c r="G38" i="46"/>
  <c r="K8" i="52" s="1"/>
  <c r="H38" i="46"/>
  <c r="L8" i="52" s="1"/>
  <c r="I38" i="46"/>
  <c r="M8" i="52" s="1"/>
  <c r="F39" i="46"/>
  <c r="G39" i="46"/>
  <c r="H39" i="46"/>
  <c r="I39" i="46"/>
  <c r="E38" i="46"/>
  <c r="E39" i="46"/>
  <c r="L27" i="39"/>
  <c r="K27" i="39"/>
  <c r="L26" i="39"/>
  <c r="K26" i="39"/>
  <c r="I7" i="52"/>
  <c r="K25" i="37"/>
  <c r="P249" i="39"/>
  <c r="O249" i="39"/>
  <c r="P245" i="39"/>
  <c r="O245" i="39"/>
  <c r="P241" i="39"/>
  <c r="O241" i="39"/>
  <c r="P237" i="39"/>
  <c r="O237" i="39"/>
  <c r="P233" i="39"/>
  <c r="O233" i="39"/>
  <c r="B233" i="39" s="1"/>
  <c r="B119" i="48"/>
  <c r="B10" i="58" l="1"/>
  <c r="A11" i="58"/>
  <c r="B11" i="58" s="1"/>
  <c r="I35" i="46"/>
  <c r="M6" i="52" s="1"/>
  <c r="P345" i="47"/>
  <c r="P331" i="47"/>
  <c r="B17" i="46" l="1"/>
  <c r="F44" i="48"/>
  <c r="F42" i="48"/>
  <c r="P39" i="48" l="1"/>
  <c r="B6" i="49"/>
  <c r="B6" i="45" s="1"/>
  <c r="B6" i="48"/>
  <c r="B163" i="47"/>
  <c r="B165" i="47"/>
  <c r="B166" i="47"/>
  <c r="B167" i="47"/>
  <c r="O132" i="42"/>
  <c r="O127" i="39"/>
  <c r="O61" i="37"/>
  <c r="O392" i="47"/>
  <c r="O379" i="47"/>
  <c r="O331" i="47"/>
  <c r="O184" i="47"/>
  <c r="B450" i="47"/>
  <c r="B6" i="47" l="1"/>
  <c r="B6" i="42"/>
  <c r="B6" i="46"/>
  <c r="B6" i="39"/>
  <c r="B6" i="44"/>
  <c r="B6" i="37"/>
  <c r="B6" i="43"/>
  <c r="O233" i="47"/>
  <c r="B122" i="43" l="1"/>
  <c r="B112" i="43"/>
  <c r="B102" i="43"/>
  <c r="B92" i="43"/>
  <c r="B82" i="43"/>
  <c r="B72" i="43"/>
  <c r="B62" i="43"/>
  <c r="B52" i="43"/>
  <c r="B42" i="43"/>
  <c r="B32" i="43"/>
  <c r="B22" i="43"/>
  <c r="D47" i="38"/>
  <c r="D46" i="38"/>
  <c r="B130" i="43"/>
  <c r="D42" i="38" l="1"/>
  <c r="B258" i="39" s="1"/>
  <c r="D44" i="38"/>
  <c r="B185" i="43"/>
  <c r="B230" i="43" s="1"/>
  <c r="B49" i="44"/>
  <c r="B40" i="44"/>
  <c r="B31" i="44"/>
  <c r="B22" i="44"/>
  <c r="B13" i="44"/>
  <c r="E12" i="44"/>
  <c r="B29" i="43"/>
  <c r="B39" i="43"/>
  <c r="B49" i="43"/>
  <c r="B59" i="43"/>
  <c r="B69" i="43"/>
  <c r="B79" i="43"/>
  <c r="B89" i="43"/>
  <c r="B99" i="43"/>
  <c r="B109" i="43"/>
  <c r="B119" i="43"/>
  <c r="B334" i="42"/>
  <c r="B344" i="42"/>
  <c r="B324" i="42"/>
  <c r="B274" i="42"/>
  <c r="B266" i="42"/>
  <c r="B138" i="42"/>
  <c r="B168" i="42"/>
  <c r="B178" i="42"/>
  <c r="B148" i="42"/>
  <c r="B158" i="42"/>
  <c r="B136" i="42"/>
  <c r="C258" i="39"/>
  <c r="D43" i="38"/>
  <c r="B175" i="39"/>
  <c r="B40" i="45"/>
  <c r="B49" i="45"/>
  <c r="B22" i="45"/>
  <c r="B31" i="45"/>
  <c r="B206" i="47"/>
  <c r="B211" i="47"/>
  <c r="D31" i="49"/>
  <c r="G252" i="42" l="1"/>
  <c r="I236" i="42"/>
  <c r="J236" i="42"/>
  <c r="K236" i="42"/>
  <c r="G236" i="42"/>
  <c r="H236" i="42"/>
  <c r="I313" i="39"/>
  <c r="F314" i="39"/>
  <c r="F258" i="39"/>
  <c r="F259" i="39"/>
  <c r="F313" i="39"/>
  <c r="I314" i="39"/>
  <c r="H314" i="39"/>
  <c r="H313" i="39"/>
  <c r="G314" i="39"/>
  <c r="G313" i="39"/>
  <c r="I259" i="39"/>
  <c r="I258" i="39"/>
  <c r="H259" i="39"/>
  <c r="H258" i="39"/>
  <c r="G259" i="39"/>
  <c r="G258" i="39"/>
  <c r="G229" i="42"/>
  <c r="I229" i="42"/>
  <c r="K237" i="42"/>
  <c r="K229" i="42"/>
  <c r="J237" i="42"/>
  <c r="J229" i="42"/>
  <c r="H237" i="42"/>
  <c r="H229" i="42"/>
  <c r="J252" i="42"/>
  <c r="B229" i="42"/>
  <c r="K252" i="42"/>
  <c r="G237" i="42"/>
  <c r="I252" i="42"/>
  <c r="H252" i="42"/>
  <c r="I237" i="42"/>
  <c r="B313" i="39"/>
  <c r="O31" i="49"/>
  <c r="P197" i="43"/>
  <c r="P195" i="43"/>
  <c r="P180" i="43"/>
  <c r="P178" i="43"/>
  <c r="P193" i="43"/>
  <c r="P176" i="43"/>
  <c r="P173" i="43"/>
  <c r="O197" i="43"/>
  <c r="O195" i="43"/>
  <c r="O193" i="43"/>
  <c r="O191" i="43"/>
  <c r="O180" i="43"/>
  <c r="O178" i="43"/>
  <c r="O176" i="43"/>
  <c r="O173" i="43"/>
  <c r="O8" i="47" l="1"/>
  <c r="D62" i="49" l="1"/>
  <c r="D55" i="49"/>
  <c r="D48" i="49"/>
  <c r="D37" i="49"/>
  <c r="D65" i="49"/>
  <c r="D58" i="49"/>
  <c r="D51" i="49"/>
  <c r="D44" i="49"/>
  <c r="D40" i="49"/>
  <c r="D69" i="49"/>
  <c r="B62" i="49"/>
  <c r="B55" i="49"/>
  <c r="B48" i="49"/>
  <c r="B37" i="49"/>
  <c r="B65" i="49"/>
  <c r="B58" i="49"/>
  <c r="B51" i="49"/>
  <c r="B44" i="49"/>
  <c r="B40" i="49"/>
  <c r="B69" i="49"/>
  <c r="B12" i="43"/>
  <c r="B41" i="46" s="1"/>
  <c r="B60" i="46"/>
  <c r="B80" i="46" s="1"/>
  <c r="B9" i="46"/>
  <c r="B8" i="46"/>
  <c r="B28" i="46"/>
  <c r="B36" i="49" l="1"/>
  <c r="B298" i="42" l="1"/>
  <c r="B190" i="42"/>
  <c r="B38" i="42"/>
  <c r="B16" i="42"/>
  <c r="B262" i="39"/>
  <c r="B217" i="39"/>
  <c r="B202" i="39"/>
  <c r="B19" i="39"/>
  <c r="B12" i="37"/>
  <c r="B2" i="37"/>
  <c r="B2" i="43" s="1"/>
  <c r="B404" i="47"/>
  <c r="B315" i="47"/>
  <c r="B196" i="47"/>
  <c r="B86" i="47"/>
  <c r="B12" i="47"/>
  <c r="B26" i="49"/>
  <c r="B8" i="49"/>
  <c r="B4" i="49"/>
  <c r="B116" i="48"/>
  <c r="B97" i="48"/>
  <c r="B69" i="48"/>
  <c r="B75" i="48"/>
  <c r="B63" i="48"/>
  <c r="D65" i="48"/>
  <c r="B25" i="48"/>
  <c r="B37" i="48"/>
  <c r="C29" i="48"/>
  <c r="B5" i="48"/>
  <c r="B2" i="39" l="1"/>
  <c r="B2" i="42"/>
  <c r="B307" i="39"/>
  <c r="B306" i="39"/>
  <c r="B305" i="39"/>
  <c r="B302" i="39"/>
  <c r="B301" i="39"/>
  <c r="B300" i="39"/>
  <c r="B297" i="39"/>
  <c r="B296" i="39"/>
  <c r="B295" i="39"/>
  <c r="B292" i="39"/>
  <c r="B291" i="39"/>
  <c r="B290" i="39"/>
  <c r="B287" i="39"/>
  <c r="B286" i="39"/>
  <c r="B285" i="39"/>
  <c r="B282" i="39"/>
  <c r="B281" i="39"/>
  <c r="B280" i="39"/>
  <c r="B277" i="39"/>
  <c r="B276" i="39"/>
  <c r="B275" i="39"/>
  <c r="O305" i="39"/>
  <c r="P305" i="39"/>
  <c r="O300" i="39"/>
  <c r="P300" i="39"/>
  <c r="O295" i="39"/>
  <c r="P295" i="39"/>
  <c r="O290" i="39"/>
  <c r="P290" i="39"/>
  <c r="O285" i="39"/>
  <c r="P285" i="39"/>
  <c r="O280" i="39"/>
  <c r="O275" i="39"/>
  <c r="P275" i="39"/>
  <c r="B252" i="39"/>
  <c r="B251" i="39"/>
  <c r="B250" i="39"/>
  <c r="B248" i="39"/>
  <c r="B247" i="39"/>
  <c r="B246" i="39"/>
  <c r="B244" i="39"/>
  <c r="B243" i="39"/>
  <c r="B242" i="39"/>
  <c r="B240" i="39"/>
  <c r="B239" i="39"/>
  <c r="B238" i="39"/>
  <c r="B278" i="39" l="1"/>
  <c r="B298" i="39"/>
  <c r="B283" i="39"/>
  <c r="B303" i="39"/>
  <c r="B293" i="39"/>
  <c r="B288" i="39"/>
  <c r="B273" i="39"/>
  <c r="B49" i="48"/>
  <c r="O39" i="48"/>
  <c r="P46" i="48"/>
  <c r="P31" i="49"/>
  <c r="B272" i="39" l="1"/>
  <c r="B271" i="39"/>
  <c r="B270" i="39"/>
  <c r="B56" i="39"/>
  <c r="C91" i="47" l="1"/>
  <c r="E91" i="47"/>
  <c r="G91" i="47"/>
  <c r="I91" i="47"/>
  <c r="K91" i="47"/>
  <c r="J32" i="47"/>
  <c r="G32" i="47"/>
  <c r="E32" i="47"/>
  <c r="C32" i="47"/>
  <c r="I33" i="46" l="1"/>
  <c r="H33" i="46"/>
  <c r="L128" i="42" l="1"/>
  <c r="L126" i="42"/>
  <c r="K128" i="42"/>
  <c r="K126" i="42"/>
  <c r="K123" i="42"/>
  <c r="L114" i="42"/>
  <c r="L110" i="42"/>
  <c r="L104" i="42"/>
  <c r="K114" i="42"/>
  <c r="K110" i="42"/>
  <c r="K104" i="42"/>
  <c r="L65" i="42"/>
  <c r="K215" i="42" s="1"/>
  <c r="K217" i="42" s="1"/>
  <c r="K218" i="42" s="1"/>
  <c r="K222" i="42" s="1"/>
  <c r="K65" i="42"/>
  <c r="J215" i="42" s="1"/>
  <c r="J217" i="42" s="1"/>
  <c r="J218" i="42" s="1"/>
  <c r="J222" i="42" s="1"/>
  <c r="L53" i="42"/>
  <c r="K201" i="42" s="1"/>
  <c r="K203" i="42" s="1"/>
  <c r="K204" i="42" s="1"/>
  <c r="K208" i="42" s="1"/>
  <c r="K53" i="42"/>
  <c r="J201" i="42" s="1"/>
  <c r="J203" i="42" s="1"/>
  <c r="J204" i="42" s="1"/>
  <c r="J208" i="42" s="1"/>
  <c r="K22" i="42"/>
  <c r="L43" i="42" s="1"/>
  <c r="L55" i="42" s="1"/>
  <c r="L100" i="42" s="1"/>
  <c r="L106" i="42" s="1"/>
  <c r="L112" i="42" s="1"/>
  <c r="L121" i="42" s="1"/>
  <c r="K196" i="42" s="1"/>
  <c r="K250" i="42" s="1"/>
  <c r="J22" i="42"/>
  <c r="K43" i="42" s="1"/>
  <c r="K55" i="42" s="1"/>
  <c r="K100" i="42" s="1"/>
  <c r="K106" i="42" s="1"/>
  <c r="K112" i="42" s="1"/>
  <c r="K121" i="42" s="1"/>
  <c r="J196" i="42" s="1"/>
  <c r="J250" i="42" s="1"/>
  <c r="K26" i="42"/>
  <c r="K30" i="42" s="1"/>
  <c r="J26" i="42"/>
  <c r="J30" i="42" s="1"/>
  <c r="K214" i="39"/>
  <c r="J214" i="39"/>
  <c r="L24" i="39"/>
  <c r="L53" i="39" s="1"/>
  <c r="I144" i="39" s="1"/>
  <c r="K207" i="39" s="1"/>
  <c r="I257" i="39" s="1"/>
  <c r="K24" i="39"/>
  <c r="K53" i="39" s="1"/>
  <c r="H144" i="39" s="1"/>
  <c r="J207" i="39" s="1"/>
  <c r="H257" i="39" s="1"/>
  <c r="L46" i="39"/>
  <c r="L43" i="39"/>
  <c r="L37" i="39"/>
  <c r="L31" i="39"/>
  <c r="L28" i="39"/>
  <c r="K46" i="39"/>
  <c r="K43" i="39"/>
  <c r="K37" i="39"/>
  <c r="K31" i="39"/>
  <c r="K28" i="39"/>
  <c r="K19" i="37"/>
  <c r="J19" i="37"/>
  <c r="K30" i="37"/>
  <c r="J25" i="37"/>
  <c r="K117" i="42" l="1"/>
  <c r="H47" i="55"/>
  <c r="H49" i="55" s="1"/>
  <c r="L117" i="42"/>
  <c r="I47" i="55"/>
  <c r="I49" i="55" s="1"/>
  <c r="H35" i="46"/>
  <c r="L6" i="52" s="1"/>
  <c r="K125" i="42"/>
  <c r="K127" i="42"/>
  <c r="L125" i="42"/>
  <c r="L127" i="42"/>
  <c r="K124" i="42"/>
  <c r="L123" i="42"/>
  <c r="L124" i="42"/>
  <c r="J30" i="37"/>
  <c r="L56" i="39"/>
  <c r="J234" i="42"/>
  <c r="J210" i="42"/>
  <c r="J227" i="42"/>
  <c r="K234" i="42"/>
  <c r="K210" i="42"/>
  <c r="K227" i="42"/>
  <c r="K28" i="37"/>
  <c r="K31" i="37" s="1"/>
  <c r="J28" i="37"/>
  <c r="J31" i="37" s="1"/>
  <c r="K56" i="39"/>
  <c r="C314" i="39"/>
  <c r="C259" i="39"/>
  <c r="B235" i="39"/>
  <c r="E42" i="39"/>
  <c r="E36" i="39"/>
  <c r="E30" i="39"/>
  <c r="P13" i="46" l="1"/>
  <c r="O13" i="46"/>
  <c r="B219" i="47"/>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307" i="39" l="1"/>
  <c r="K307" i="39"/>
  <c r="J307" i="39"/>
  <c r="I307" i="39"/>
  <c r="H307" i="39"/>
  <c r="G307" i="39"/>
  <c r="F307" i="39"/>
  <c r="E307" i="39"/>
  <c r="L302" i="39"/>
  <c r="K302" i="39"/>
  <c r="J302" i="39"/>
  <c r="I302" i="39"/>
  <c r="H302" i="39"/>
  <c r="G302" i="39"/>
  <c r="F302" i="39"/>
  <c r="E302" i="39"/>
  <c r="P15" i="43" l="1"/>
  <c r="P322" i="42"/>
  <c r="P132" i="42"/>
  <c r="P69" i="42"/>
  <c r="P34" i="42"/>
  <c r="P127" i="39"/>
  <c r="P86" i="39"/>
  <c r="P72" i="39"/>
  <c r="P61" i="37"/>
  <c r="P407" i="47"/>
  <c r="P392" i="47"/>
  <c r="P379" i="47"/>
  <c r="P359" i="47"/>
  <c r="P318" i="47"/>
  <c r="P247" i="47"/>
  <c r="P233" i="47"/>
  <c r="P184" i="47"/>
  <c r="P83" i="47"/>
  <c r="P57" i="47"/>
  <c r="O15" i="43"/>
  <c r="O322" i="42"/>
  <c r="O69" i="42"/>
  <c r="O34" i="42"/>
  <c r="O86" i="39"/>
  <c r="O72" i="39"/>
  <c r="O407" i="47"/>
  <c r="O359" i="47"/>
  <c r="O345" i="47"/>
  <c r="O318" i="47"/>
  <c r="O247" i="47"/>
  <c r="O83" i="47"/>
  <c r="O57" i="47"/>
  <c r="B57" i="47" l="1"/>
  <c r="H65" i="42"/>
  <c r="G215" i="42" s="1"/>
  <c r="G217" i="42" s="1"/>
  <c r="G218" i="42" s="1"/>
  <c r="G222" i="42" s="1"/>
  <c r="H53" i="42"/>
  <c r="G201" i="42" s="1"/>
  <c r="G203" i="42" s="1"/>
  <c r="G204" i="42" s="1"/>
  <c r="G208" i="42" s="1"/>
  <c r="I26" i="42"/>
  <c r="I30" i="42" s="1"/>
  <c r="H26" i="42"/>
  <c r="H30" i="42" s="1"/>
  <c r="G26" i="42"/>
  <c r="G30" i="42" s="1"/>
  <c r="E297" i="39"/>
  <c r="E292" i="39"/>
  <c r="E287" i="39"/>
  <c r="E282" i="39"/>
  <c r="E277" i="39"/>
  <c r="E272" i="39"/>
  <c r="E252" i="39"/>
  <c r="E248" i="39"/>
  <c r="E244" i="39"/>
  <c r="E240" i="39"/>
  <c r="G236" i="39"/>
  <c r="F236" i="39"/>
  <c r="E236" i="39"/>
  <c r="B132" i="48" l="1"/>
  <c r="E132" i="48"/>
  <c r="J132" i="48"/>
  <c r="J131" i="48"/>
  <c r="L297" i="39" l="1"/>
  <c r="K297" i="39"/>
  <c r="J297" i="39"/>
  <c r="I297" i="39"/>
  <c r="H297" i="39"/>
  <c r="G297" i="39"/>
  <c r="F297" i="39"/>
  <c r="O270" i="39" l="1"/>
  <c r="L232" i="39" l="1"/>
  <c r="K232" i="39" l="1"/>
  <c r="J232" i="39" s="1"/>
  <c r="I232" i="39" s="1"/>
  <c r="H232" i="39" s="1"/>
  <c r="G232" i="39" s="1"/>
  <c r="F232" i="39" s="1"/>
  <c r="E232" i="39" s="1"/>
  <c r="L267" i="39"/>
  <c r="B201" i="47"/>
  <c r="B199" i="47"/>
  <c r="P220" i="39" l="1"/>
  <c r="O220" i="39"/>
  <c r="K267" i="39"/>
  <c r="J267" i="39" l="1"/>
  <c r="B127" i="39"/>
  <c r="I267" i="39" l="1"/>
  <c r="B421" i="47"/>
  <c r="H267" i="39" l="1"/>
  <c r="P35" i="39"/>
  <c r="O35" i="39"/>
  <c r="B32" i="39" s="1"/>
  <c r="B37" i="46" s="1"/>
  <c r="P29" i="39"/>
  <c r="O29" i="39"/>
  <c r="G267" i="39" l="1"/>
  <c r="F267" i="39" l="1"/>
  <c r="E267" i="39" l="1"/>
  <c r="F22" i="37" l="1"/>
  <c r="B22" i="37"/>
  <c r="B197" i="43"/>
  <c r="B242" i="43" s="1"/>
  <c r="B195" i="43"/>
  <c r="B240" i="43" s="1"/>
  <c r="B193" i="43"/>
  <c r="B238" i="43" s="1"/>
  <c r="B191" i="43"/>
  <c r="B236" i="43" s="1"/>
  <c r="B189" i="43"/>
  <c r="B234" i="43" s="1"/>
  <c r="B183" i="43"/>
  <c r="B228" i="43" s="1"/>
  <c r="B182" i="43"/>
  <c r="B227" i="43" s="1"/>
  <c r="B180" i="43"/>
  <c r="B225" i="43" s="1"/>
  <c r="B178" i="43"/>
  <c r="B223" i="43" s="1"/>
  <c r="B176" i="43"/>
  <c r="B221" i="43" s="1"/>
  <c r="B173" i="43"/>
  <c r="B218" i="43" s="1"/>
  <c r="B171" i="43"/>
  <c r="B216" i="43" s="1"/>
  <c r="B167" i="43"/>
  <c r="B212" i="43" s="1"/>
  <c r="B166" i="43"/>
  <c r="B211" i="43" s="1"/>
  <c r="B163" i="43"/>
  <c r="B208" i="43" s="1"/>
  <c r="B161" i="43"/>
  <c r="B206" i="43" s="1"/>
  <c r="B159" i="43"/>
  <c r="B204" i="43" s="1"/>
  <c r="B157" i="43"/>
  <c r="B202" i="43" s="1"/>
  <c r="B156" i="43"/>
  <c r="B201" i="43" s="1"/>
  <c r="B155" i="43"/>
  <c r="B200" i="43" s="1"/>
  <c r="B59" i="46" l="1"/>
  <c r="B79" i="46" s="1"/>
  <c r="B52" i="46"/>
  <c r="B72" i="46" s="1"/>
  <c r="B49" i="46"/>
  <c r="B69" i="46" s="1"/>
  <c r="B53" i="46"/>
  <c r="B73" i="46" s="1"/>
  <c r="B64" i="46"/>
  <c r="B84" i="46" s="1"/>
  <c r="B47" i="46"/>
  <c r="B67" i="46" s="1"/>
  <c r="B57" i="46"/>
  <c r="B77" i="46" s="1"/>
  <c r="B48" i="46"/>
  <c r="B68" i="46" s="1"/>
  <c r="F23" i="37"/>
  <c r="B23" i="37"/>
  <c r="B436" i="47" l="1"/>
  <c r="B407" i="47" l="1"/>
  <c r="B28" i="49" l="1"/>
  <c r="L26" i="49"/>
  <c r="K26" i="49"/>
  <c r="J26" i="49"/>
  <c r="I26" i="49"/>
  <c r="H26" i="49"/>
  <c r="G26" i="49"/>
  <c r="F26" i="49"/>
  <c r="E26" i="49"/>
  <c r="D26" i="49"/>
  <c r="L20" i="49" l="1"/>
  <c r="K20" i="49"/>
  <c r="J20" i="49"/>
  <c r="I20" i="49"/>
  <c r="H20" i="49"/>
  <c r="G20" i="49"/>
  <c r="F20" i="49"/>
  <c r="E20" i="49"/>
  <c r="D20" i="49"/>
  <c r="B20" i="49"/>
  <c r="B15" i="49"/>
  <c r="B12" i="49"/>
  <c r="B10" i="49"/>
  <c r="L8" i="49"/>
  <c r="K8" i="49"/>
  <c r="J8" i="49"/>
  <c r="I8" i="49"/>
  <c r="H8" i="49"/>
  <c r="G8" i="49"/>
  <c r="F8" i="49"/>
  <c r="E8" i="49"/>
  <c r="D8" i="49"/>
  <c r="E131" i="48"/>
  <c r="B131" i="48"/>
  <c r="B129" i="48"/>
  <c r="L127" i="48"/>
  <c r="K127" i="48"/>
  <c r="J127" i="48"/>
  <c r="I127" i="48"/>
  <c r="H127" i="48"/>
  <c r="G127" i="48"/>
  <c r="E127" i="48"/>
  <c r="D127" i="48"/>
  <c r="C127" i="48"/>
  <c r="B123" i="48"/>
  <c r="B120" i="48"/>
  <c r="B84" i="48"/>
  <c r="B118" i="48"/>
  <c r="L116" i="48"/>
  <c r="K116" i="48"/>
  <c r="J116" i="48"/>
  <c r="I116" i="48"/>
  <c r="H116" i="48"/>
  <c r="G116" i="48"/>
  <c r="E116" i="48"/>
  <c r="D116" i="48"/>
  <c r="C116" i="48"/>
  <c r="L63" i="48"/>
  <c r="K63" i="48"/>
  <c r="J63" i="48"/>
  <c r="I63" i="48"/>
  <c r="H63" i="48"/>
  <c r="G63" i="48"/>
  <c r="E63" i="48"/>
  <c r="D63" i="48"/>
  <c r="C63" i="48"/>
  <c r="B4" i="39" l="1"/>
  <c r="B4" i="47"/>
  <c r="B4" i="37"/>
  <c r="B4" i="43"/>
  <c r="B4" i="45"/>
  <c r="B4" i="46"/>
  <c r="B4" i="42"/>
  <c r="B4" i="44"/>
  <c r="B34" i="48"/>
  <c r="B27" i="48"/>
  <c r="L25" i="48"/>
  <c r="K25" i="48"/>
  <c r="J25" i="48"/>
  <c r="I25" i="48"/>
  <c r="H25" i="48"/>
  <c r="G25" i="48"/>
  <c r="E25" i="48"/>
  <c r="D25" i="48"/>
  <c r="C25" i="48"/>
  <c r="B71" i="48"/>
  <c r="L69" i="48"/>
  <c r="K69" i="48"/>
  <c r="J69" i="48"/>
  <c r="I69" i="48"/>
  <c r="H69" i="48"/>
  <c r="G69" i="48"/>
  <c r="E69" i="48"/>
  <c r="D69" i="48"/>
  <c r="C69" i="48"/>
  <c r="B113" i="48" l="1"/>
  <c r="B108" i="48" l="1"/>
  <c r="B99" i="48"/>
  <c r="B106" i="48"/>
  <c r="B104" i="48"/>
  <c r="B102" i="48"/>
  <c r="B44" i="48" l="1"/>
  <c r="D41" i="48"/>
  <c r="B42" i="48"/>
  <c r="B39" i="48"/>
  <c r="B85" i="48" l="1"/>
  <c r="B81" i="48"/>
  <c r="B79" i="48"/>
  <c r="B77"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F33" i="46" s="1"/>
  <c r="G33" i="46" s="1"/>
  <c r="B35" i="46"/>
  <c r="B9" i="43" l="1"/>
  <c r="B9" i="39"/>
  <c r="B9" i="37"/>
  <c r="B9" i="42"/>
  <c r="B8" i="43"/>
  <c r="B8" i="39"/>
  <c r="B8" i="42"/>
  <c r="B8" i="37"/>
  <c r="B43" i="46"/>
  <c r="B13" i="45"/>
  <c r="E12" i="45"/>
  <c r="B10" i="45"/>
  <c r="B8" i="45"/>
  <c r="B10" i="44"/>
  <c r="B8" i="44"/>
  <c r="P6" i="44"/>
  <c r="O6" i="44"/>
  <c r="O5" i="44"/>
  <c r="B2" i="44"/>
  <c r="B149" i="43" l="1"/>
  <c r="B144" i="43"/>
  <c r="B143" i="43"/>
  <c r="B140" i="43"/>
  <c r="B137" i="43" l="1"/>
  <c r="B285" i="42"/>
  <c r="B82" i="42" l="1"/>
  <c r="B133" i="43" l="1"/>
  <c r="B19" i="43" l="1"/>
  <c r="B15" i="43"/>
  <c r="B304" i="42" l="1"/>
  <c r="E303" i="42"/>
  <c r="F303" i="42" l="1"/>
  <c r="G303" i="42" s="1"/>
  <c r="H303" i="42" s="1"/>
  <c r="I303" i="42" s="1"/>
  <c r="J303" i="42" s="1"/>
  <c r="B258" i="42"/>
  <c r="B247" i="42"/>
  <c r="B237" i="42" l="1"/>
  <c r="B236" i="42"/>
  <c r="B231" i="42"/>
  <c r="B252" i="42"/>
  <c r="B224" i="42"/>
  <c r="B207" i="42"/>
  <c r="B221" i="42" s="1"/>
  <c r="B204" i="42"/>
  <c r="B218" i="42" s="1"/>
  <c r="B210" i="42" l="1"/>
  <c r="B208" i="42"/>
  <c r="B222" i="42" s="1"/>
  <c r="B206" i="42"/>
  <c r="B220" i="42" s="1"/>
  <c r="B205" i="42"/>
  <c r="B219" i="42" s="1"/>
  <c r="B203" i="42"/>
  <c r="B217" i="42" s="1"/>
  <c r="B202" i="42"/>
  <c r="B216" i="42" s="1"/>
  <c r="B201" i="42"/>
  <c r="B215" i="42" s="1"/>
  <c r="B200" i="42"/>
  <c r="B214" i="42" s="1"/>
  <c r="B199" i="42"/>
  <c r="B213" i="42" s="1"/>
  <c r="G196" i="42"/>
  <c r="G250" i="42" s="1"/>
  <c r="B196" i="42"/>
  <c r="G136" i="42"/>
  <c r="E136" i="42"/>
  <c r="D136" i="42"/>
  <c r="C136" i="42"/>
  <c r="I128" i="42"/>
  <c r="J128" i="42"/>
  <c r="H128" i="42"/>
  <c r="I126" i="42"/>
  <c r="J126" i="42"/>
  <c r="H126" i="42"/>
  <c r="G124" i="42"/>
  <c r="G123" i="42"/>
  <c r="B128" i="42"/>
  <c r="B127" i="42"/>
  <c r="B126" i="42"/>
  <c r="B125" i="42"/>
  <c r="G234" i="42" l="1"/>
  <c r="G210" i="42"/>
  <c r="G227" i="42"/>
  <c r="H196" i="42"/>
  <c r="H250" i="42" s="1"/>
  <c r="I196" i="42" l="1"/>
  <c r="I250" i="42" s="1"/>
  <c r="H227" i="42"/>
  <c r="H210" i="42"/>
  <c r="H234" i="42"/>
  <c r="B124" i="42"/>
  <c r="B123" i="42"/>
  <c r="H121" i="42"/>
  <c r="B119" i="42"/>
  <c r="B115" i="42"/>
  <c r="I114" i="42"/>
  <c r="F47" i="55" s="1"/>
  <c r="F49" i="55" s="1"/>
  <c r="J114" i="42"/>
  <c r="G47" i="55" s="1"/>
  <c r="G49" i="55" s="1"/>
  <c r="H114" i="42"/>
  <c r="E47" i="55" s="1"/>
  <c r="E49" i="55" s="1"/>
  <c r="B114" i="42"/>
  <c r="H112" i="42"/>
  <c r="B112" i="42"/>
  <c r="J110" i="42"/>
  <c r="I110" i="42"/>
  <c r="H110" i="42"/>
  <c r="H106" i="42"/>
  <c r="B106" i="42"/>
  <c r="I104" i="42"/>
  <c r="J104" i="42"/>
  <c r="H104" i="42"/>
  <c r="B98" i="42"/>
  <c r="B104" i="42"/>
  <c r="B103" i="42"/>
  <c r="B102" i="42"/>
  <c r="B108" i="42" s="1"/>
  <c r="H100" i="42"/>
  <c r="I100" i="42" s="1"/>
  <c r="J100" i="42" s="1"/>
  <c r="B100" i="42"/>
  <c r="B96" i="42"/>
  <c r="B132" i="42"/>
  <c r="B193" i="42"/>
  <c r="B256" i="42"/>
  <c r="B301" i="42"/>
  <c r="J125" i="42" l="1"/>
  <c r="J127" i="42"/>
  <c r="H127" i="42"/>
  <c r="H125" i="42"/>
  <c r="I125" i="42"/>
  <c r="I127" i="42"/>
  <c r="I210" i="42"/>
  <c r="I234" i="42"/>
  <c r="I227" i="42"/>
  <c r="B116" i="42"/>
  <c r="B109" i="42"/>
  <c r="B117" i="42"/>
  <c r="B110" i="42"/>
  <c r="H117" i="42"/>
  <c r="E70" i="51"/>
  <c r="J117" i="42"/>
  <c r="G70" i="51"/>
  <c r="I117" i="42"/>
  <c r="F70" i="51"/>
  <c r="I121" i="42"/>
  <c r="J121" i="42" s="1"/>
  <c r="I112" i="42"/>
  <c r="J112" i="42" s="1"/>
  <c r="I106" i="42"/>
  <c r="J106" i="42" s="1"/>
  <c r="J65" i="42"/>
  <c r="I215" i="42" s="1"/>
  <c r="I217" i="42" s="1"/>
  <c r="I218" i="42" s="1"/>
  <c r="I222" i="42" s="1"/>
  <c r="I65" i="42"/>
  <c r="H215" i="42" s="1"/>
  <c r="H217" i="42" s="1"/>
  <c r="H218" i="42" s="1"/>
  <c r="H222" i="42" s="1"/>
  <c r="H55" i="42"/>
  <c r="B55" i="42"/>
  <c r="I53" i="42"/>
  <c r="H201" i="42" s="1"/>
  <c r="H203" i="42" s="1"/>
  <c r="I201" i="42"/>
  <c r="I203" i="42" l="1"/>
  <c r="I204" i="42" s="1"/>
  <c r="H204" i="42"/>
  <c r="I55" i="42"/>
  <c r="J55" i="42" s="1"/>
  <c r="H208" i="42" l="1"/>
  <c r="I208" i="42"/>
  <c r="B51" i="42"/>
  <c r="B63" i="42" s="1"/>
  <c r="B52" i="42"/>
  <c r="B64" i="42" s="1"/>
  <c r="P48" i="42" l="1"/>
  <c r="O48" i="42"/>
  <c r="P47" i="42"/>
  <c r="O47" i="42"/>
  <c r="P46" i="42"/>
  <c r="O46" i="42"/>
  <c r="B45" i="42"/>
  <c r="B57" i="42" s="1"/>
  <c r="B43" i="42" l="1"/>
  <c r="B53" i="42"/>
  <c r="B65" i="42" s="1"/>
  <c r="B50" i="42"/>
  <c r="B62" i="42" s="1"/>
  <c r="B49" i="42"/>
  <c r="B61" i="42" s="1"/>
  <c r="B48" i="42"/>
  <c r="B60" i="42" s="1"/>
  <c r="B47" i="42"/>
  <c r="B59" i="42" s="1"/>
  <c r="B46" i="42"/>
  <c r="B58" i="42" s="1"/>
  <c r="H43" i="42"/>
  <c r="B41" i="42"/>
  <c r="B34" i="42"/>
  <c r="B30" i="42"/>
  <c r="B29" i="42"/>
  <c r="B28" i="42"/>
  <c r="B26" i="42"/>
  <c r="B25" i="42"/>
  <c r="B322" i="42"/>
  <c r="B308" i="42"/>
  <c r="B69" i="42"/>
  <c r="B27" i="42"/>
  <c r="B24" i="42"/>
  <c r="G22" i="42"/>
  <c r="B19" i="42"/>
  <c r="B13" i="42"/>
  <c r="E46" i="39"/>
  <c r="E44" i="39"/>
  <c r="B44" i="39"/>
  <c r="E43" i="39"/>
  <c r="E41" i="39"/>
  <c r="B41" i="39"/>
  <c r="B39" i="46" s="1"/>
  <c r="E37" i="39"/>
  <c r="E35" i="39"/>
  <c r="C313" i="39"/>
  <c r="B309" i="39"/>
  <c r="B265" i="39"/>
  <c r="B254" i="39"/>
  <c r="B236" i="39"/>
  <c r="B234" i="39"/>
  <c r="B230" i="39"/>
  <c r="B226" i="39"/>
  <c r="B225" i="39"/>
  <c r="B224" i="39"/>
  <c r="B223" i="39"/>
  <c r="B222" i="39"/>
  <c r="B214" i="39"/>
  <c r="B213" i="39"/>
  <c r="B212" i="39"/>
  <c r="B211" i="39"/>
  <c r="B210" i="39"/>
  <c r="B209" i="39"/>
  <c r="B205" i="39"/>
  <c r="B189" i="39"/>
  <c r="B161" i="39"/>
  <c r="B146" i="39"/>
  <c r="B142" i="39"/>
  <c r="B114" i="39"/>
  <c r="B100" i="39"/>
  <c r="B59" i="39"/>
  <c r="G56" i="39"/>
  <c r="G55" i="39"/>
  <c r="B55" i="39"/>
  <c r="B50" i="39"/>
  <c r="E31" i="39"/>
  <c r="E29" i="39"/>
  <c r="E28" i="39"/>
  <c r="E26" i="39"/>
  <c r="B26" i="39"/>
  <c r="B22" i="39"/>
  <c r="B17" i="39"/>
  <c r="B14" i="42" s="1"/>
  <c r="B16" i="39"/>
  <c r="B15" i="39"/>
  <c r="B13" i="39"/>
  <c r="B12" i="39"/>
  <c r="B12" i="42" s="1"/>
  <c r="B268" i="39"/>
  <c r="I43" i="42" l="1"/>
  <c r="J43" i="42" s="1"/>
  <c r="H22" i="42"/>
  <c r="I22" i="42" s="1"/>
  <c r="B220" i="39" l="1"/>
  <c r="B249" i="39"/>
  <c r="B245" i="39"/>
  <c r="B241" i="39"/>
  <c r="B237" i="39"/>
  <c r="K236" i="39" l="1"/>
  <c r="H236" i="39"/>
  <c r="I236" i="39"/>
  <c r="J236" i="39"/>
  <c r="L236" i="39"/>
  <c r="L292" i="39"/>
  <c r="K292" i="39"/>
  <c r="J292" i="39"/>
  <c r="I292" i="39"/>
  <c r="H292" i="39"/>
  <c r="G292" i="39"/>
  <c r="F292" i="39"/>
  <c r="L287" i="39"/>
  <c r="K287" i="39"/>
  <c r="J287" i="39"/>
  <c r="I287" i="39"/>
  <c r="H287" i="39"/>
  <c r="G287" i="39"/>
  <c r="F287" i="39"/>
  <c r="L282" i="39"/>
  <c r="K282" i="39"/>
  <c r="J282" i="39"/>
  <c r="I282" i="39"/>
  <c r="H282" i="39"/>
  <c r="G282" i="39"/>
  <c r="F282" i="39"/>
  <c r="L277" i="39"/>
  <c r="K277" i="39"/>
  <c r="J277" i="39"/>
  <c r="I277" i="39"/>
  <c r="H277" i="39"/>
  <c r="G277" i="39"/>
  <c r="F277" i="39"/>
  <c r="L272" i="39"/>
  <c r="K272" i="39"/>
  <c r="J272" i="39"/>
  <c r="I272" i="39"/>
  <c r="H272" i="39"/>
  <c r="G272" i="39"/>
  <c r="F272" i="39"/>
  <c r="L252" i="39"/>
  <c r="K252" i="39"/>
  <c r="J252" i="39"/>
  <c r="I252" i="39"/>
  <c r="H252" i="39"/>
  <c r="G252" i="39"/>
  <c r="F252" i="39"/>
  <c r="L248" i="39"/>
  <c r="K248" i="39"/>
  <c r="J248" i="39"/>
  <c r="I248" i="39"/>
  <c r="H248" i="39"/>
  <c r="G248" i="39"/>
  <c r="F248" i="39"/>
  <c r="L244" i="39"/>
  <c r="K244" i="39"/>
  <c r="J244" i="39"/>
  <c r="I244" i="39"/>
  <c r="H244" i="39"/>
  <c r="G244" i="39"/>
  <c r="F244" i="39"/>
  <c r="L240" i="39"/>
  <c r="K240" i="39"/>
  <c r="J240" i="39"/>
  <c r="I240" i="39"/>
  <c r="H240" i="39"/>
  <c r="G240" i="39"/>
  <c r="F240" i="39"/>
  <c r="H214" i="39" l="1"/>
  <c r="I214" i="39"/>
  <c r="G214" i="39"/>
  <c r="G207" i="39"/>
  <c r="H207" i="39" l="1"/>
  <c r="I207" i="39" l="1"/>
  <c r="G257" i="39" s="1"/>
  <c r="F257" i="39"/>
  <c r="F312" i="39" s="1"/>
  <c r="B86" i="39"/>
  <c r="B72" i="39"/>
  <c r="H53" i="39"/>
  <c r="J46" i="39"/>
  <c r="I46" i="39"/>
  <c r="H46" i="39"/>
  <c r="J43" i="39"/>
  <c r="I43" i="39"/>
  <c r="H43" i="39"/>
  <c r="J27" i="39"/>
  <c r="J26" i="39"/>
  <c r="I27" i="39"/>
  <c r="I26" i="39"/>
  <c r="J37" i="39"/>
  <c r="I37" i="39"/>
  <c r="H37" i="39"/>
  <c r="B38" i="46"/>
  <c r="B148" i="39"/>
  <c r="E144" i="39"/>
  <c r="H24" i="39"/>
  <c r="B29" i="39"/>
  <c r="B36" i="46" s="1"/>
  <c r="J31" i="39"/>
  <c r="I31" i="39"/>
  <c r="H31" i="39"/>
  <c r="H28" i="39"/>
  <c r="B102" i="37"/>
  <c r="B88" i="37"/>
  <c r="B74" i="37"/>
  <c r="B48" i="37"/>
  <c r="B35" i="37"/>
  <c r="B31" i="37"/>
  <c r="B30" i="37"/>
  <c r="F29" i="37"/>
  <c r="B29" i="37"/>
  <c r="F28" i="37"/>
  <c r="B28" i="37"/>
  <c r="F26" i="37"/>
  <c r="B26" i="37"/>
  <c r="H25" i="37"/>
  <c r="I25" i="37"/>
  <c r="G25" i="37"/>
  <c r="B25" i="37"/>
  <c r="F25" i="37"/>
  <c r="F21" i="37"/>
  <c r="B21" i="37"/>
  <c r="G19" i="37"/>
  <c r="B15" i="37"/>
  <c r="P10" i="37"/>
  <c r="B10" i="37" s="1"/>
  <c r="I56" i="39" l="1"/>
  <c r="J56" i="39"/>
  <c r="E35" i="46"/>
  <c r="I6" i="52" s="1"/>
  <c r="H56" i="39"/>
  <c r="I30" i="37"/>
  <c r="G35" i="46"/>
  <c r="K6" i="52" s="1"/>
  <c r="H30" i="37"/>
  <c r="F35" i="46"/>
  <c r="J6" i="52" s="1"/>
  <c r="J124" i="42"/>
  <c r="J123" i="42"/>
  <c r="I124" i="42"/>
  <c r="I123" i="42"/>
  <c r="B10" i="43"/>
  <c r="B10" i="42"/>
  <c r="B10" i="39"/>
  <c r="G30" i="37"/>
  <c r="G28" i="37"/>
  <c r="G31" i="37" s="1"/>
  <c r="I28" i="37"/>
  <c r="I31" i="37" s="1"/>
  <c r="H28" i="37"/>
  <c r="H31" i="37" s="1"/>
  <c r="P5" i="44"/>
  <c r="H124" i="42"/>
  <c r="H123" i="42"/>
  <c r="J28" i="39"/>
  <c r="I28" i="39"/>
  <c r="I53" i="39"/>
  <c r="J53" i="39" s="1"/>
  <c r="F144" i="39"/>
  <c r="G144" i="39" s="1"/>
  <c r="I24" i="39"/>
  <c r="B61" i="37"/>
  <c r="H19" i="37"/>
  <c r="I19" i="37" s="1"/>
  <c r="G312" i="39" l="1"/>
  <c r="B5" i="49"/>
  <c r="J24" i="39"/>
  <c r="I312" i="39" s="1"/>
  <c r="B5" i="45" l="1"/>
  <c r="B5" i="43"/>
  <c r="B5" i="37"/>
  <c r="B5" i="44"/>
  <c r="B5" i="39"/>
  <c r="B5" i="46"/>
  <c r="B5" i="47"/>
  <c r="B5" i="42"/>
  <c r="H312" i="39"/>
</calcChain>
</file>

<file path=xl/sharedStrings.xml><?xml version="1.0" encoding="utf-8"?>
<sst xmlns="http://schemas.openxmlformats.org/spreadsheetml/2006/main" count="1772" uniqueCount="1034">
  <si>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</si>
  <si>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</si>
  <si>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</si>
  <si>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</si>
  <si>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</si>
  <si>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</si>
  <si>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</si>
  <si>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</si>
  <si>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</si>
  <si>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</si>
  <si>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</si>
  <si>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</si>
  <si>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</si>
  <si>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</si>
  <si>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</si>
  <si>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</si>
  <si>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</si>
  <si>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</si>
  <si>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</si>
  <si>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</si>
  <si>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</si>
  <si>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</si>
  <si>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</si>
  <si>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</si>
  <si>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</si>
  <si>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</si>
  <si>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</si>
  <si>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</si>
  <si>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</si>
  <si>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</si>
  <si>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</si>
  <si>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</si>
  <si>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</si>
  <si>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</si>
  <si>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</si>
  <si>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</si>
  <si>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</si>
  <si>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</si>
  <si>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</si>
  <si>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</si>
  <si>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</si>
  <si>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</si>
  <si>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</si>
  <si>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</si>
  <si>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</si>
  <si>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</si>
  <si>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</si>
  <si>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</si>
  <si>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</si>
  <si>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</si>
  <si>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</si>
  <si>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</si>
  <si>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</si>
  <si>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</si>
  <si>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</si>
  <si>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</si>
  <si>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</si>
  <si>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</si>
  <si>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</si>
  <si>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</si>
  <si>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</si>
  <si>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</si>
  <si>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</si>
  <si>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</si>
  <si>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</si>
  <si>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</si>
  <si>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</si>
  <si>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</si>
  <si>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</si>
  <si>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</si>
  <si>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</si>
  <si>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</si>
  <si>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</si>
  <si>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</si>
  <si>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</si>
  <si>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</si>
  <si>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</si>
  <si>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</si>
  <si>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</si>
  <si>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</si>
  <si>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</si>
  <si>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</si>
  <si>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</si>
  <si>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</si>
  <si>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</si>
  <si>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</si>
  <si>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</si>
  <si>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</si>
  <si>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</si>
  <si>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</si>
  <si>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</si>
  <si>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</si>
  <si>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</si>
  <si>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</si>
  <si>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</si>
  <si>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</si>
  <si>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</si>
  <si>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</si>
  <si>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</si>
  <si>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</si>
  <si>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</si>
  <si>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</si>
  <si>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</si>
  <si>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</si>
  <si>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</si>
  <si>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</si>
  <si>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</si>
  <si>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</si>
  <si>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</si>
  <si>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</si>
  <si>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</si>
  <si>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</si>
  <si>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</si>
  <si>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</si>
  <si>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</si>
  <si>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</si>
  <si>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</si>
  <si>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</si>
  <si>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</si>
  <si>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</si>
  <si>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</si>
  <si>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</si>
  <si>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</si>
  <si>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</si>
  <si>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</si>
  <si>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</si>
  <si>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</si>
  <si>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</si>
  <si>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</si>
  <si>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</si>
  <si>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</si>
  <si>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</si>
  <si>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</si>
  <si>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</si>
  <si>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</si>
  <si>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</si>
  <si>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</si>
  <si>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</si>
  <si>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</si>
  <si>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</si>
  <si>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Type l'affiliation</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</si>
  <si>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</si>
  <si>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</si>
  <si>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</si>
  <si>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</si>
  <si>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</si>
  <si>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</si>
  <si>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</si>
  <si>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</si>
  <si>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</si>
  <si>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</si>
  <si>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</si>
  <si>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</si>
  <si>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</si>
  <si>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</si>
  <si>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</si>
  <si>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</si>
  <si>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</si>
  <si>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</si>
  <si>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</si>
  <si>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</si>
  <si>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</si>
  <si>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</si>
  <si>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</si>
  <si>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</si>
  <si>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</si>
  <si>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</si>
  <si>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</si>
  <si>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</si>
  <si>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</si>
  <si>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</si>
  <si>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</si>
  <si>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</si>
  <si>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</si>
  <si>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</si>
  <si>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</si>
  <si>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</si>
  <si>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</si>
  <si>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</si>
  <si>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</si>
  <si>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</si>
  <si>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</si>
  <si>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</si>
  <si>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</si>
  <si>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</si>
  <si>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</si>
  <si>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</si>
  <si>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</si>
  <si>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</si>
  <si>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Totale</t>
  </si>
  <si>
    <t>Capacity utilization rate of the goods</t>
  </si>
  <si>
    <t>Taux d'utilisation des capacités des marchandises</t>
  </si>
  <si>
    <t>%</t>
  </si>
  <si>
    <t>Total capacity utilization rate</t>
  </si>
  <si>
    <t>Taux d'utilisation total des capacités</t>
  </si>
  <si>
    <t>Pratical plant capacity</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</si>
  <si>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</si>
  <si>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</si>
  <si>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</si>
  <si>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</si>
  <si>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</si>
  <si>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</si>
  <si>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</si>
  <si>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</si>
  <si>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</si>
  <si>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</si>
  <si>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</si>
  <si>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</si>
  <si>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</si>
  <si>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</si>
  <si>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</si>
  <si>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</si>
  <si>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</si>
  <si>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</si>
  <si>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</si>
  <si>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</si>
  <si>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</si>
  <si>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</si>
  <si>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</si>
  <si>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</si>
  <si>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</si>
  <si>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</si>
  <si>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</si>
  <si>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</si>
  <si>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</si>
  <si>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</si>
  <si>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</si>
  <si>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</si>
  <si>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</si>
  <si>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</si>
  <si>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</si>
  <si>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</si>
  <si>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</si>
  <si>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Note - The following statistics are based on the responses provided. If the statistics do not match your firm's experience, modify the responses you have provided to correct the statistics.</t>
  </si>
  <si>
    <t>Remarque - Les statistiques suivantes sont basées sur les réponses fournies. Si les statistiques ne correspondent pas à l'expérience de votre entreprise, modifiez les réponses que vous avez fournies pour corriger les statistiques.</t>
  </si>
  <si>
    <t>Production Volume per Direct Employee</t>
  </si>
  <si>
    <t>Volume de production par employé direct</t>
  </si>
  <si>
    <t>Production Volume per Direct Employment Hours Worked</t>
  </si>
  <si>
    <t>Volume de production par heures d'emploi direct travaillées</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</si>
  <si>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</si>
  <si>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</si>
  <si>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</si>
  <si>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</si>
  <si>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</si>
  <si>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</si>
  <si>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</si>
  <si>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</si>
  <si>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</si>
  <si>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</si>
  <si>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</si>
  <si>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</si>
  <si>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</si>
  <si>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</si>
  <si>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</si>
  <si>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</si>
  <si>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</si>
  <si>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</si>
  <si>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</si>
  <si>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</si>
  <si>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</si>
  <si>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</si>
  <si>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</si>
  <si>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</si>
  <si>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</si>
  <si>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</si>
  <si>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Verification - For Sale in Canada</t>
  </si>
  <si>
    <t>Vérification - Pour les ventes au Canada</t>
  </si>
  <si>
    <t>Verification - For Export Sales</t>
  </si>
  <si>
    <t>Vérification - Pour les ventes à l'exportation</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</si>
  <si>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</si>
  <si>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</si>
  <si>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</si>
  <si>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</si>
  <si>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</si>
  <si>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</si>
  <si>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</si>
  <si>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</si>
  <si>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</si>
  <si>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</si>
  <si>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</si>
  <si>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</si>
  <si>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</si>
  <si>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</si>
  <si>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</si>
  <si>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</si>
  <si>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</si>
  <si>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</si>
  <si>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</si>
  <si>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</si>
  <si>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</si>
  <si>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</si>
  <si>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</si>
  <si>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</si>
  <si>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</si>
  <si>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</si>
  <si>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</si>
  <si>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</si>
  <si>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</si>
  <si>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</si>
  <si>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</si>
  <si>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</si>
  <si>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</si>
  <si>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</si>
  <si>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</si>
  <si>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</si>
  <si>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</si>
  <si>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</si>
  <si>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</si>
  <si>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</si>
  <si>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</si>
  <si>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</si>
  <si>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</si>
  <si>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</si>
  <si>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</si>
  <si>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</si>
  <si>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</si>
  <si>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</si>
  <si>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</si>
  <si>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</si>
  <si>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</si>
  <si>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</si>
  <si>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</si>
  <si>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</si>
  <si>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</si>
  <si>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</si>
  <si>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</si>
  <si>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</si>
  <si>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</si>
  <si>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</si>
  <si>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</si>
  <si>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</si>
  <si>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</si>
  <si>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</si>
  <si>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</si>
  <si>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</si>
  <si>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</si>
  <si>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</si>
  <si>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</si>
  <si>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</si>
  <si>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</si>
  <si>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</si>
  <si>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</si>
  <si>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</si>
  <si>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</si>
  <si>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</si>
  <si>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</si>
  <si>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</si>
  <si>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</si>
  <si>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</si>
  <si>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</si>
  <si>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</si>
  <si>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</si>
  <si>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</si>
  <si>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</si>
  <si>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</si>
  <si>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</si>
  <si>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</si>
  <si>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</si>
  <si>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</si>
  <si>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</si>
  <si>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</si>
  <si>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</si>
  <si>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</si>
  <si>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</si>
  <si>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</si>
  <si>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</si>
  <si>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</si>
  <si>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</si>
  <si>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</si>
  <si>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</si>
  <si>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</si>
  <si>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</si>
  <si>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</si>
  <si>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Using data provided in Question 1 on the Pro 1 tab with the data provided in Question 1 on the Pro 2 tab, the questionnaire calculates ending inventory as follows:</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</si>
  <si>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</si>
  <si>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</si>
  <si>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</si>
  <si>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</si>
  <si>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</si>
  <si>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</si>
  <si>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</si>
  <si>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</si>
  <si>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</si>
  <si>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</si>
  <si>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</si>
  <si>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</si>
  <si>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</si>
  <si>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</si>
  <si>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</si>
  <si>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</si>
  <si>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</si>
  <si>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</si>
  <si>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</si>
  <si>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</si>
  <si>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</si>
  <si>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</si>
  <si>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</si>
  <si>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Includes costs that are directly tied to the production of the goods, such as the cost of labour, materials, and manufacturing overhead. It excludes indirect expenses such as distribution costs and sales force costs.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</si>
  <si>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</si>
  <si>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Includes plant personnel such as supervisors, superintendents and quality control employees, but does not include sales and administrative personnel.</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</si>
  <si>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</si>
  <si>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</si>
  <si>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</si>
  <si>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</si>
  <si>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</si>
  <si>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Expliquez les changements que vous prévoyez voir sur le marché canadien et sur d’autres marchés mondiaux pour les marchandises au cours des deux prochaines années en ce qui concerne la demande, les prix, l’utilisation des capacités, les volumes d’importation ou tout autre facteur.</t>
  </si>
  <si>
    <t>Error</t>
  </si>
  <si>
    <t>Erreur</t>
  </si>
  <si>
    <t>Okay</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</si>
  <si>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</si>
  <si>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</si>
  <si>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</si>
  <si>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</si>
  <si>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</si>
  <si>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</si>
  <si>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</si>
  <si>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</si>
  <si>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</si>
  <si>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</si>
  <si>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</si>
  <si>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</si>
  <si>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</si>
  <si>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</si>
  <si>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</si>
  <si>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</si>
  <si>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</si>
  <si>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</si>
  <si>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</si>
  <si>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</si>
  <si>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 xml:space="preserve">Comprends 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</si>
  <si>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Comprends le personnel des usines, comme les surveillants, les chefs d’usine et les préposés au contrôle de la qualité, mais exclus le personnel de vente et d’administration.</t>
  </si>
  <si>
    <t>Comprends les coûts de main-d’œuvre des employés dont les tâches peuvent être facilement rattachées (par observation) à la production des biens et sont correctement considérées comme des coûts de main-d’œuvre directe dans la déclaration de l’entreprise sur le coût des biens fabriqués. Les biens peuvent être produits pour la vente intérieure, pour la vente à l’exportation et pour une utilisation interne ou une transformation interne ultérieure.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</si>
  <si>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</si>
  <si>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</si>
  <si>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</si>
  <si>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</si>
  <si>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</si>
  <si>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</si>
  <si>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</si>
  <si>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</si>
  <si>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</si>
  <si>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</si>
  <si>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</si>
  <si>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</si>
  <si>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</si>
  <si>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</si>
  <si>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</si>
  <si>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</si>
  <si>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</si>
  <si>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</si>
  <si>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</si>
  <si>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</si>
  <si>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</si>
  <si>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</si>
  <si>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</si>
  <si>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</si>
  <si>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</si>
  <si>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</si>
  <si>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</si>
  <si>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</si>
  <si>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</si>
  <si>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</si>
  <si>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</si>
  <si>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Describe how your firm allocated the following expenses in your response to the income statements provided in Question 9 of this tab:</t>
  </si>
  <si>
    <t>Décrivez comment votre entreprise a réparti les dépenses suivantes dans votre réponse aux états de résultats fournis à la question 9 de cet onglet :</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</si>
  <si>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</si>
  <si>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</si>
  <si>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</si>
  <si>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</si>
  <si>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</si>
  <si>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</si>
  <si>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</si>
  <si>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</si>
  <si>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</si>
  <si>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</si>
  <si>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</si>
  <si>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</si>
  <si>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</si>
  <si>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</si>
  <si>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</si>
  <si>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</si>
  <si>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</si>
  <si>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</si>
  <si>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</si>
  <si>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</si>
  <si>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</si>
  <si>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</si>
  <si>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</si>
  <si>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</si>
  <si>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</si>
  <si>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</si>
  <si>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</si>
  <si>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</si>
  <si>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</si>
  <si>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</si>
  <si>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</si>
  <si>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</si>
  <si>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</si>
  <si>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</si>
  <si>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</si>
  <si>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</si>
  <si>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</si>
  <si>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</si>
  <si>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</si>
  <si>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</si>
  <si>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</si>
  <si>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</si>
  <si>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</si>
  <si>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</si>
  <si>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</si>
  <si>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</si>
  <si>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</si>
  <si>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</si>
  <si>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</si>
  <si>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</si>
  <si>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</si>
  <si>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</si>
  <si>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</si>
  <si>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</si>
  <si>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</si>
  <si>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</si>
  <si>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</si>
  <si>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</si>
  <si>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</si>
  <si>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</si>
  <si>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</si>
  <si>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</si>
  <si>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</si>
  <si>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</si>
  <si>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</si>
  <si>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</si>
  <si>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</si>
  <si>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</si>
  <si>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</si>
  <si>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</si>
  <si>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</si>
  <si>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</si>
  <si>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</si>
  <si>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</si>
  <si>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</si>
  <si>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</si>
  <si>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</si>
  <si>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</si>
  <si>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</si>
  <si>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</si>
  <si>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</si>
  <si>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</si>
  <si>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</si>
  <si>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</si>
  <si>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</si>
  <si>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</si>
  <si>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</si>
  <si>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</si>
  <si>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</si>
  <si>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</si>
  <si>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</si>
  <si>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</si>
  <si>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</si>
  <si>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</si>
  <si>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</si>
  <si>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</si>
  <si>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</si>
  <si>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</si>
  <si>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</si>
  <si>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</si>
  <si>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</si>
  <si>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</si>
  <si>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</si>
  <si>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</si>
  <si>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</si>
  <si>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</si>
  <si>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</si>
  <si>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</si>
  <si>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</si>
  <si>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</si>
  <si>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</si>
  <si>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</si>
  <si>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</si>
  <si>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</si>
  <si>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</si>
  <si>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</si>
  <si>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</si>
  <si>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</si>
  <si>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</si>
  <si>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</si>
  <si>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</si>
  <si>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</si>
  <si>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</si>
  <si>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le dumping et le subventionnement</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</si>
  <si>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</si>
  <si>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</si>
  <si>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</si>
  <si>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</si>
  <si>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</si>
  <si>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</si>
  <si>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</si>
  <si>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</si>
  <si>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</si>
  <si>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</si>
  <si>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</si>
  <si>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</si>
  <si>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</si>
  <si>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</si>
  <si>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Trade Level 2 (plural)</t>
  </si>
  <si>
    <t>Date of change</t>
  </si>
  <si>
    <t>Selectionnez oui ou non</t>
  </si>
  <si>
    <t>First Year of POI</t>
  </si>
  <si>
    <t>Last Day of POI</t>
  </si>
  <si>
    <t>Last Year of POI</t>
  </si>
  <si>
    <t>Last Quarter of POI (ie Q2)</t>
  </si>
  <si>
    <t>If no, explain.</t>
  </si>
  <si>
    <t>Si non, expliquez.</t>
  </si>
  <si>
    <t>Produced the goods</t>
  </si>
  <si>
    <t>Produit les marchandises</t>
  </si>
  <si>
    <t>Imported the goods from any country as the importer of record</t>
  </si>
  <si>
    <t>Importé les marchandises de n’importe quel pays en tant qu’importateur officiel</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</si>
  <si>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</si>
  <si>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</si>
  <si>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</si>
  <si>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</si>
  <si>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</si>
  <si>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</si>
  <si>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</si>
  <si>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</si>
  <si>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</si>
  <si>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</si>
  <si>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</si>
  <si>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</si>
  <si>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En utilisant les données fournies à la question 1 sur l'onglet Pro 1 avec les données fournies à la question 1 sur l'onglet Pro 2, le questionnaire calcule le stock de clôture comme suit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</si>
  <si>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</si>
  <si>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</si>
  <si>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</si>
  <si>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</si>
  <si>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</si>
  <si>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Correct</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</si>
  <si>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</si>
  <si>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</si>
  <si>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Si le volume du stock de clôtures à la question 1 sur l'onglet Pro 2 diffère du stock de clôture calculé, expliquez pourquoi il y a une différence.</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</si>
  <si>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</si>
  <si>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</si>
  <si>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</si>
  <si>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</si>
  <si>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</si>
  <si>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</si>
  <si>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</si>
  <si>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</si>
  <si>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</si>
  <si>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</si>
  <si>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</si>
  <si>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</si>
  <si>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</si>
  <si>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</si>
  <si>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</si>
  <si>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</si>
  <si>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</si>
  <si>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</si>
  <si>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</si>
  <si>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</si>
  <si>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</si>
  <si>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</si>
  <si>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</si>
  <si>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</si>
  <si>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</si>
  <si>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Ensure the total of all column widths in a tab equals 1340 pixels to allow for consistent scaling when exported to PDF.</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</si>
  <si>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</si>
  <si>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</si>
  <si>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</si>
  <si>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</si>
  <si>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</si>
  <si>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</si>
  <si>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</si>
  <si>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</si>
  <si>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</si>
  <si>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</si>
  <si>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</si>
  <si>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</si>
  <si>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</si>
  <si>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</si>
  <si>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</si>
  <si>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</si>
  <si>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</si>
  <si>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</si>
  <si>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</si>
  <si>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</si>
  <si>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</si>
  <si>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</si>
  <si>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</si>
  <si>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</si>
  <si>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</si>
  <si>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</si>
  <si>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</si>
  <si>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</si>
  <si>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</si>
  <si>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</si>
  <si>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</si>
  <si>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</si>
  <si>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</si>
  <si>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</si>
  <si>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</si>
  <si>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</si>
  <si>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</si>
  <si>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</si>
  <si>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</si>
  <si>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</si>
  <si>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</si>
  <si>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</si>
  <si>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</si>
  <si>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</si>
  <si>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</si>
  <si>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</si>
  <si>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</si>
  <si>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</si>
  <si>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</si>
  <si>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</si>
  <si>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</si>
  <si>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</si>
  <si>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</si>
  <si>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</si>
  <si>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</si>
  <si>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</si>
  <si>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</si>
  <si>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Pro2 Questions 14&amp;15</t>
  </si>
  <si>
    <t>Pro3 Question 9</t>
  </si>
  <si>
    <t>Sélectionnez oui ou non</t>
  </si>
  <si>
    <t>NEGATIVE EFFECTS OF IMPORTS</t>
  </si>
  <si>
    <t>EFFETS NÉGATIFS DES IMPORTATIONS</t>
  </si>
  <si>
    <t>Yes</t>
  </si>
  <si>
    <t>No</t>
  </si>
  <si>
    <t>Oui</t>
  </si>
  <si>
    <t>Non</t>
  </si>
  <si>
    <t>Dans le tableau ci-dessous, « Erreur » signifie que la valeur des ventes nettes combinées déclarée à cette question dépasse la valeur des ventes nettes totales de votre entreprise déclarée à la question 1 de cet onglet. Par conséquent, veuillez modifier les données applicables.</t>
  </si>
  <si>
    <t>In the table below, “Error” means that the value of combined ending inventory reported in this question does not match the value of total ending inventory reported in question 1 of the Pro 2 tab. Therefore, please modify the applicable data.</t>
  </si>
  <si>
    <t>Dans le tableau ci-dessous, « Erreur » signifie que la valeur de stock de clôture combiné déclaré dans cette question ne correspond pas à la valeur de stock de clôture total déclaré à la question 1 de l'onglet Pro 2. Par conséquent, veuillez modifier les données applicables.</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</si>
  <si>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</si>
  <si>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</si>
  <si>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</si>
  <si>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</si>
  <si>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Question 28</t>
  </si>
  <si>
    <t>Intro, Pro4 Question 1</t>
  </si>
  <si>
    <t>i.e. columns B-L should be 134 pixels each.</t>
  </si>
  <si>
    <t>Jun-Dec 2023</t>
  </si>
  <si>
    <t>juin-déc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</si>
  <si>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</si>
  <si>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</si>
  <si>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</si>
  <si>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t>
  </si>
  <si>
    <t>DEVEZ-VOUS REMPLIR CE QUESTIONNAIRE?</t>
  </si>
  <si>
    <t>Remplir le tableau suivant pour les ventes et les stocks des marchandises par votre entreprise.</t>
  </si>
  <si>
    <t>Remplir le tableau suivant pour la production des marchandises par votre entreprise et d'autres produits fabriqués sur le même équipement au Canada. 
Remarque : les autres produits fabriqués sur le même équipement sont tous les autres produits autres que des marchandises définies dans l'onglet « Intro » qui sont fabriqués à l'aide du même équipement.</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</si>
  <si>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</si>
  <si>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</si>
  <si>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</si>
  <si>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</si>
  <si>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</si>
  <si>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</si>
  <si>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</si>
  <si>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China</t>
  </si>
  <si>
    <t>la Chine</t>
  </si>
  <si>
    <t>Additional product information can be found on the CBSA website:</t>
  </si>
  <si>
    <t>Des renseignements supplémentaires sur le produit se trouvent sur le site Web de l’ASFC  :</t>
  </si>
  <si>
    <t>Indiquez la proportion de la valeur de vente nette rendue de vos ventes à l’importation qui est représentée par les frais de livraison.</t>
  </si>
  <si>
    <t>Valeur des ventes, nette de tout escompte (comptant, de quantité ou différé), allocation, taxe, remise et incitatif, qu’ils soient ou non inscrits sur la facture. Cette valeur inclut l’ensemble des frais de livraison (fret, manutention et assurance) supportés par votre entreprise à compter du point d’expédition directe au Canada et incorporés au prix de vente, ou une estimation desdits frais lorsque ceux-ci sont assumés par vos clients.</t>
  </si>
  <si>
    <t>Confirm that all data reported in this questionnaire pertain to the goods as defined in the "Intro" tab.</t>
  </si>
  <si>
    <t>Confirmez que toutes les données déclarées dans ce questionnaire concernent les marchandises telles que définies dans l’onglet « Intro ».</t>
  </si>
  <si>
    <t>Company:</t>
  </si>
  <si>
    <t>Respondent Type:</t>
  </si>
  <si>
    <t>Activity:</t>
  </si>
  <si>
    <t>Country:</t>
  </si>
  <si>
    <t>Subject/Non:</t>
  </si>
  <si>
    <t>Other Country:</t>
  </si>
  <si>
    <t>Trade Level:</t>
  </si>
  <si>
    <t>Sales To:</t>
  </si>
  <si>
    <t>I 2023</t>
  </si>
  <si>
    <t>I 2024</t>
  </si>
  <si>
    <t xml:space="preserve">Domestic Producer   |  Producteur national </t>
  </si>
  <si>
    <t>Sales to | Ventes à</t>
  </si>
  <si>
    <t>Export Sales |  Ventes à l'exportation</t>
  </si>
  <si>
    <t>Collapsed Respondent Name</t>
  </si>
  <si>
    <t>Tab in Q</t>
  </si>
  <si>
    <t>Countries - Q</t>
  </si>
  <si>
    <t>Exporter - Q</t>
  </si>
  <si>
    <t>Subject &amp; NS #</t>
  </si>
  <si>
    <t>Other
Countries</t>
  </si>
  <si>
    <t>Market Segment</t>
  </si>
  <si>
    <t>VOL  - 2022</t>
  </si>
  <si>
    <t>VOL  - 2023</t>
  </si>
  <si>
    <t>VOL  - 2024</t>
  </si>
  <si>
    <t>VOL - Q  - 
2024</t>
  </si>
  <si>
    <t>VOL  - Q
2025</t>
  </si>
  <si>
    <t>POID</t>
  </si>
  <si>
    <t>VAL  - 2022</t>
  </si>
  <si>
    <t>VAL  - 2023</t>
  </si>
  <si>
    <t>VAL  - 2024</t>
  </si>
  <si>
    <t>VAL  - Q
2024</t>
  </si>
  <si>
    <t>VAL  - Q
2025</t>
  </si>
  <si>
    <t>UV  - 2022</t>
  </si>
  <si>
    <t>UV  - 2023</t>
  </si>
  <si>
    <t>UV  - 2024</t>
  </si>
  <si>
    <t>UV  - Q
2024</t>
  </si>
  <si>
    <t>UV  - Q
2025</t>
  </si>
  <si>
    <t>DEL  - 2022</t>
  </si>
  <si>
    <t>DEL  - 2023</t>
  </si>
  <si>
    <t>DEL  - 2024</t>
  </si>
  <si>
    <t>DEL  - Q
2024</t>
  </si>
  <si>
    <t>DEL  - Q
2025</t>
  </si>
  <si>
    <t xml:space="preserve">- </t>
  </si>
  <si>
    <t>2 - End user / Mechanical contractor</t>
  </si>
  <si>
    <t>DOMESTIC SALES  |  VENTES NATIONALES</t>
  </si>
  <si>
    <t xml:space="preserve">EXPORT SALES  |  VENTES À L'EXPORTATION </t>
  </si>
  <si>
    <t>Jan. - Jun.  |  janv. - juin</t>
  </si>
  <si>
    <t>Coût des marchandises fabriquées¹</t>
  </si>
  <si>
    <t xml:space="preserve">Volume des marchandises fabriquées </t>
  </si>
  <si>
    <t>000 $</t>
  </si>
  <si>
    <t>Matériaux directs utilisés</t>
  </si>
  <si>
    <t>Coûts indirects de production</t>
  </si>
  <si>
    <t>Moins : Stock de clôture</t>
  </si>
  <si>
    <t>$/tonne</t>
  </si>
  <si>
    <t>État des résultats</t>
  </si>
  <si>
    <t>Volume de ventes nettes (tonnes)</t>
  </si>
  <si>
    <t>Valeur des ventes nettes</t>
  </si>
  <si>
    <t>Marge bénéficiaire brute (pertes)</t>
  </si>
  <si>
    <t>Frais généraux, de vente et d’administration</t>
  </si>
  <si>
    <t>Revenus nets (pertes) avant impôt</t>
  </si>
  <si>
    <t>Note(s):</t>
  </si>
  <si>
    <t>1. The data may not balance, as the beginning and ending inventories of goods in process are not shown.  |  
Les données pourraient ne pas s'équilibrer puisque les stocks d'ouverture et de clôture des marchandises en cours de fabrication ne figurent pas dans le tableau.</t>
  </si>
  <si>
    <t>Source: Reply to CITT questionnaire.  |  Réponse au questionnaire du TCCE.</t>
  </si>
  <si>
    <t>TOTAL FIRM  |  TOTAL ENTERPRISE</t>
  </si>
  <si>
    <t>Practical plant capacity (tonnes)</t>
  </si>
  <si>
    <t>Capacité pratique des usines (tonnes)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</si>
  <si>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</si>
  <si>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</si>
  <si>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</si>
  <si>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</si>
  <si>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</si>
  <si>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</si>
  <si>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</si>
  <si>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</si>
  <si>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</si>
  <si>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</si>
  <si>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</si>
  <si>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Valeur (000 $)</t>
  </si>
  <si>
    <t>Total - Valeur unitaire ($/tonne)</t>
  </si>
  <si>
    <t xml:space="preserve">Ventes à l'exportation </t>
  </si>
  <si>
    <t>Total - Number of employees</t>
  </si>
  <si>
    <t>Total - Nombre d'employés</t>
  </si>
  <si>
    <t>Hours worked (000)</t>
  </si>
  <si>
    <t>Nombre d'heures travaillées (000)</t>
  </si>
  <si>
    <t>Salaires (000 $)</t>
  </si>
  <si>
    <t>Tonnes / employé (direct)</t>
  </si>
  <si>
    <t>Tonnes / heure travaillée (direct)</t>
  </si>
  <si>
    <t>Stocks</t>
  </si>
  <si>
    <t>Projected  |  Prévisions</t>
  </si>
  <si>
    <t>Investments ($000)</t>
  </si>
  <si>
    <t>Investissements (000 $)</t>
  </si>
  <si>
    <t>$/tonne manufactured | $/tonne fabriquée</t>
  </si>
  <si>
    <t>Material</t>
  </si>
  <si>
    <t>Matériaux</t>
  </si>
  <si>
    <t>TOTAL</t>
  </si>
  <si>
    <t>All other direct materials used</t>
  </si>
  <si>
    <t>Return on investment  | 
Rendement du capital investi</t>
  </si>
  <si>
    <t>Growth  | 
Croissance</t>
  </si>
  <si>
    <t>Ability to raise capital   | 
Capacité de réunir des capitaux</t>
  </si>
  <si>
    <t xml:space="preserve">Production Development Efforts  | 
Projets de développement de la production </t>
  </si>
  <si>
    <t>Hours worked | 
Le nombre d’heures de travail</t>
  </si>
  <si>
    <t>Employees’ wages | 
Les salaires de vos employés</t>
  </si>
  <si>
    <t>Pension plans | 
Le régime de pension</t>
  </si>
  <si>
    <t>Benefits | 
Les avantages sociaux</t>
  </si>
  <si>
    <t>Worker training and safety | 
La formation et la sécurité des travailleurs</t>
  </si>
  <si>
    <t>Other relevant factors | 
Autres facteurs pertinents ¹</t>
  </si>
  <si>
    <t>Source: Replies to CITT questionnaires.  |  Réponses aux questionnaires du TCCE.</t>
  </si>
  <si>
    <t>Collapsed Respondent</t>
  </si>
  <si>
    <t>Tab in Q.</t>
  </si>
  <si>
    <t>Product Name</t>
  </si>
  <si>
    <t>Product #</t>
  </si>
  <si>
    <t>Q1  |  T1 2025</t>
  </si>
  <si>
    <t>Q2  |  T2 2025</t>
  </si>
  <si>
    <t>Benchmark Product 1  |  Produit de référence 1</t>
  </si>
  <si>
    <t>Benchmark Product 2  |  Produit de référence 2</t>
  </si>
  <si>
    <t>Benchmark Product 3  |  Produit de référence 3</t>
  </si>
  <si>
    <t>% DISTRIBUTION</t>
  </si>
  <si>
    <t>I 2025</t>
  </si>
  <si>
    <t>Producer</t>
  </si>
  <si>
    <t>September 30</t>
  </si>
  <si>
    <t>30 septembre</t>
  </si>
  <si>
    <t>janv-sept 2024</t>
  </si>
  <si>
    <t>janv-sept 2025</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</si>
  <si>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</si>
  <si>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</si>
  <si>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</si>
  <si>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Q3</t>
  </si>
  <si>
    <t>T3</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</si>
  <si>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</si>
  <si>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pieces</t>
  </si>
  <si>
    <t>piece</t>
  </si>
  <si>
    <t>pièces</t>
  </si>
  <si>
    <t>pièce</t>
  </si>
  <si>
    <t>AA</t>
  </si>
  <si>
    <t>Paula Place</t>
  </si>
  <si>
    <t>paula.place@tribunal.gc.ca</t>
  </si>
  <si>
    <t>343-574-3196</t>
  </si>
  <si>
    <t>Thy Dao</t>
  </si>
  <si>
    <t>thy.dao@tribunal.gc.ca</t>
  </si>
  <si>
    <t>613-558-6438</t>
  </si>
  <si>
    <t>Trade Level 3 (plural)</t>
  </si>
  <si>
    <t>end users</t>
  </si>
  <si>
    <t>utilisateurs finals</t>
  </si>
  <si>
    <t>détaillants</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</si>
  <si>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</si>
  <si>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</si>
  <si>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AAA</t>
  </si>
  <si>
    <t>retailers</t>
  </si>
  <si>
    <t>March 23, 2026</t>
  </si>
  <si>
    <t>le 23 mars 2026</t>
  </si>
  <si>
    <t>Jan-Sept 2024</t>
  </si>
  <si>
    <t>Jan-Sept 2025</t>
  </si>
  <si>
    <t>vaisselle en fibre moulée thermoformée</t>
  </si>
  <si>
    <t>the dumping and subsidizing</t>
  </si>
  <si>
    <t>2025</t>
  </si>
  <si>
    <t>HS Codes</t>
  </si>
  <si>
    <t>n/a</t>
  </si>
  <si>
    <t>4823.61.00.00,  4823.69.00.90,  4823.70.00.00,  4823.90.00.90</t>
  </si>
  <si>
    <t>No. 1 - Round plate (6” -7” (inclusive) diameter), 10-20 count package</t>
  </si>
  <si>
    <t>N° 1 - Assiette ronde (diamètre de 6 à 7 po inclusivement), emballage de 10 à 20 pièces</t>
  </si>
  <si>
    <t>No. 2 - Round plate (6” -7” (inclusive) diameter), 35-50 count package</t>
  </si>
  <si>
    <t>N° 2 - Assiette ronde (diamètre de 6 à 7 po inclusivement), emballage de 35 à 50 pièces</t>
  </si>
  <si>
    <t>No. 3 - Round plate (8.5” – 9” (inclusive) diameter), 15 – 26 count package</t>
  </si>
  <si>
    <t>N° 3 - Assiette ronde (diamètre de 8,5 à 9 po inclusivement), emballage de 15 à 26 pièces</t>
  </si>
  <si>
    <t>No. 4 - Round plate (8.5” – 9” (inclusive) diameter), 35 – 50 count package</t>
  </si>
  <si>
    <t>N° 4 - Assiette ronde (diamètre de 8,5 à 9 po inclusivement), emballage de 35 à 50 pièces</t>
  </si>
  <si>
    <t>No. 5 - Round plate (8.5” – 9” (inclusive) diameter), 125 – 180 count package</t>
  </si>
  <si>
    <t>N° 5 - Assiette ronde (diamètre de 8,5 à 9 po inclusivement), emballage de 125 à 180 pièces</t>
  </si>
  <si>
    <t>No. 6 - Round plate (10” – 10.5” (inclusive) diameter), 10 – 20 count package</t>
  </si>
  <si>
    <t>N° 6 - Assiette ronde (diamètre de 10 à 10,5 po inclusivement), emballage de 10 à 20 pièces</t>
  </si>
  <si>
    <t>No. 7 - Round plate (10” – 10.5” (inclusive) diameter), 35 – 50 count package</t>
  </si>
  <si>
    <t>N° 7 - Assiette ronde (diamètre de 10 à 10,5 po inclusivement), emballage de 35 à 50 pièces</t>
  </si>
  <si>
    <t>No. 8 - Round plate (10” – 10.5” (inclusive) diameter), 125 – 180 count package</t>
  </si>
  <si>
    <t>N° 8 - Assiette ronde (diamètre de 10 à 10,5 po inclusivement), emballage de 125 à 180 pièces</t>
  </si>
  <si>
    <t>Select all that apply</t>
  </si>
  <si>
    <t>Sélectionnez toutes les réponses qui s'appliquent.</t>
  </si>
  <si>
    <t>Ending inventory - do not include production for internal use or further internal processing</t>
  </si>
  <si>
    <t>Stock de clôture - ne pas inclure la production utilisée à l'interne ou destinée à la transformation ultérieure à l’interne</t>
  </si>
  <si>
    <t>Total sales in Canada</t>
  </si>
  <si>
    <t>Ventes totales au Canada</t>
  </si>
  <si>
    <t>In the table below, “Error” means that the net sales value reported in this question is different than the total net delivered selling values reported in question 1 of the Pro 2 tab. Explain the reason for the difference in the space provided.</t>
  </si>
  <si>
    <t>Dans le tableau ci-dessous, « Erreur » signifie que la valeur des ventes nettes déclarée dans cette question est différente de la valeur totale des ventes nettes rendues déclarées à la question 1 de l'onglet Pro 2. Expliquez la raison de la différence dans l’espace prévu.</t>
  </si>
  <si>
    <t>In the table below, “Error” means that the combined net sales values reported in this question exceeds your firm's total net sales value reported in question 1 in this tab. Therefore, please modify the applicable data.</t>
  </si>
  <si>
    <t>NQ-2025-008</t>
  </si>
  <si>
    <t>Report the volume and value of domestic sales from domestic production for each benchmark product listed below. **Note that "count package" refers to the package size for individual sale, regardless of how many packages may be consolidated in a larger quality (such as a carton or pallet) when sold by the vendor.</t>
  </si>
  <si>
    <t>Indiquez le volume et la valeur des ventes intérieures provenant de la production nationale pour chaque produit de référence. **Notez que le terme « emballage » fait référence à la taille de l’emballage pour la vente individuelle, quel que soit le nombre d’emballages qui peuvent être regroupés dans une plus grande quantité (comme un carton ou une palette) lors de la vente par le fournisseur.</t>
  </si>
  <si>
    <t>The goods are commonly classified in the Customs Tariff under the following Harmonized Commodity Description and Coding System (HS) numbers:</t>
  </si>
  <si>
    <t>Benchmark Product 4  |  Produit de référence 4</t>
  </si>
  <si>
    <t>Benchmark Product 5  |  Produit de référence 5</t>
  </si>
  <si>
    <t>Benchmark Product 6  |  Produit de référence 6</t>
  </si>
  <si>
    <t>Benchmark Product 7  |  Produit de référence 7</t>
  </si>
  <si>
    <t>Benchmark Product 8  |  Produit de référence 8</t>
  </si>
  <si>
    <t>Round plate (6” -7” (inclusive) diameter), 10-20 count package  |  Assiette ronde (diamètre de 6 à 7 po inclusivement), emballage de 10 à 20 pièces</t>
  </si>
  <si>
    <t>Round plate (6” -7” (inclusive) diameter), 35-50 count package  |  Assiette ronde (diamètre de 6 à 7 po inclusivement), emballage de 35 à 50 pièces</t>
  </si>
  <si>
    <t>Round plate (8.5” – 9” (inclusive) diameter), 15 – 26 count package  |  Assiette ronde (diamètre de 8,5 à 9 po inclusivement), emballage de 15 à 26 pièces</t>
  </si>
  <si>
    <t>Round plate (8.5” – 9” (inclusive) diameter), 35 – 50 count package  |  Assiette ronde (diamètre de 8,5 à 9 po inclusivement), emballage de 35 à 50 pièces</t>
  </si>
  <si>
    <t>Round plate (8.5” – 9” (inclusive) diameter), 125 – 180 count package  |  Assiette ronde (diamètre de 8,5 à 9 po inclusivement), emballage de 125 à 180 pièces</t>
  </si>
  <si>
    <t>Round plate (10” – 10.5” (inclusive) diameter), 10 – 20 count package  |  Assiette ronde (diamètre de 10 à 10,5 po inclusivement), emballage de 10 à 20 pièces</t>
  </si>
  <si>
    <t>Round plate (10” – 10.5” (inclusive) diameter), 35 – 50 count package  |  Assiette ronde (diamètre de 10 à 10,5 po inclusivement), emballage de 35 à 50 pièces</t>
  </si>
  <si>
    <t>Round plate (10” – 10.5” (inclusive) diameter), 125 – 180 count package  |  Assiette ronde (diamètre de 10 à 10,5 po inclusivement), emballage de 125 à 180 pièces</t>
  </si>
  <si>
    <t>thermoformed molded fibre tableware</t>
  </si>
  <si>
    <t>Q3  |  T2 2025</t>
  </si>
  <si>
    <t>1 - Distributors  |  Distributeurs</t>
  </si>
  <si>
    <t>3 - Retailer  | Détaillant</t>
  </si>
  <si>
    <t>2 - End user | Utilisateurs final</t>
  </si>
  <si>
    <t>Respondant</t>
  </si>
  <si>
    <t>Sheet</t>
  </si>
  <si>
    <t>Comment</t>
  </si>
  <si>
    <t>Answer</t>
  </si>
  <si>
    <t>Public</t>
  </si>
  <si>
    <t>Q 1.</t>
  </si>
  <si>
    <t>Q 3.</t>
  </si>
  <si>
    <t>Q 4.</t>
  </si>
  <si>
    <t>Q 5.</t>
  </si>
  <si>
    <t>Q 7.</t>
  </si>
  <si>
    <t>Q 8.</t>
  </si>
  <si>
    <t>Q 9. A</t>
  </si>
  <si>
    <t>Q 9. B</t>
  </si>
  <si>
    <t>Q 9. C</t>
  </si>
  <si>
    <t>Q 10.</t>
  </si>
  <si>
    <t>Q 11.</t>
  </si>
  <si>
    <t>Q 13.</t>
  </si>
  <si>
    <t>Q 14.</t>
  </si>
  <si>
    <t>Q 15.</t>
  </si>
  <si>
    <t>Q 16.</t>
  </si>
  <si>
    <t>Q 17.</t>
  </si>
  <si>
    <t>Q 18.</t>
  </si>
  <si>
    <t>Q 19.</t>
  </si>
  <si>
    <t>Q 20.</t>
  </si>
  <si>
    <t>Q 21.</t>
  </si>
  <si>
    <t>Q 22.</t>
  </si>
  <si>
    <t>Q 25.</t>
  </si>
  <si>
    <t>Q 26.</t>
  </si>
  <si>
    <t>Q 27.</t>
  </si>
  <si>
    <t>Q 28.</t>
  </si>
  <si>
    <t>AddPub</t>
  </si>
  <si>
    <t>Pro 1</t>
  </si>
  <si>
    <t>Q 2.</t>
  </si>
  <si>
    <t>Q 6.</t>
  </si>
  <si>
    <t>Pro 2</t>
  </si>
  <si>
    <t>Q 8. Exp</t>
  </si>
  <si>
    <t>Q 9.</t>
  </si>
  <si>
    <t>Q 12.</t>
  </si>
  <si>
    <t>Pro 3</t>
  </si>
  <si>
    <t>Q 8. A</t>
  </si>
  <si>
    <t>Q 8. B</t>
  </si>
  <si>
    <t>Q 8. C</t>
  </si>
  <si>
    <t>Pro 4</t>
  </si>
  <si>
    <t>ROI</t>
  </si>
  <si>
    <t>Capital</t>
  </si>
  <si>
    <t>Prod Devel</t>
  </si>
  <si>
    <t>Employ</t>
  </si>
  <si>
    <t>Hours</t>
  </si>
  <si>
    <t>Pension</t>
  </si>
  <si>
    <t>Training</t>
  </si>
  <si>
    <t>Other</t>
  </si>
  <si>
    <t>AddPro</t>
  </si>
  <si>
    <t>Confirm</t>
  </si>
  <si>
    <t>Exp</t>
  </si>
  <si>
    <t>Q 11. A</t>
  </si>
  <si>
    <t>Q 11. B</t>
  </si>
  <si>
    <t>Q 11. C</t>
  </si>
  <si>
    <t>Q 15. Exp</t>
  </si>
  <si>
    <t>Q 23. A</t>
  </si>
  <si>
    <t>Q 23. B</t>
  </si>
  <si>
    <t>Q 23. C</t>
  </si>
  <si>
    <t>Q 23. Exp</t>
  </si>
  <si>
    <t>Q 24.</t>
  </si>
  <si>
    <t>Q 13. B</t>
  </si>
  <si>
    <t>Q 13. C</t>
  </si>
  <si>
    <t>Q 13.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</si>
</sst>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5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0000FF"/>
      <name val="Calibri"/>
      <family val="2"/>
      <scheme val="minor"/>
    </font>
    <font>
      <u/>
      <sz val="10"/>
      <color theme="0"/>
      <name val="Calibri Light"/>
      <family val="2"/>
      <scheme val="major"/>
    </font>
    <font>
      <b/>
      <sz val="10"/>
      <color rgb="FF00000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rgb="FFFF0000"/>
      <name val="Calibri"/>
      <family val="2"/>
      <scheme val="minor"/>
    </font>
    <font>
      <sz val="1"/>
      <name val="Calibri"/>
      <family val="2"/>
      <scheme val="minor"/>
    </font>
    <font>
      <b/>
      <u/>
      <sz val="10"/>
      <color theme="1"/>
      <name val="Calibri"/>
      <family val="2"/>
      <scheme val="minor"/>
    </font>
    <font>
      <sz val="4"/>
      <name val="Calibri"/>
      <family val="2"/>
      <scheme val="minor"/>
    </font>
    <font>
      <b/>
      <u/>
      <sz val="4"/>
      <name val="Calibri"/>
      <family val="2"/>
      <scheme val="minor"/>
    </font>
    <font>
      <b/>
      <u/>
      <sz val="10"/>
      <color theme="0"/>
      <name val="Calibri Light"/>
      <family val="2"/>
      <scheme val="major"/>
    </font>
    <font>
      <sz val="10.5"/>
      <color rgb="FF333333"/>
      <name val="Calibri"/>
      <family val="2"/>
      <scheme val="minor"/>
    </font>
    <font>
      <sz val="11"/>
      <color theme="0"/>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C000"/>
        <bgColor indexed="64"/>
      </patternFill>
    </fill>
    <fill>
      <patternFill patternType="solid">
        <fgColor theme="8" tint="0.39997558519241921"/>
        <bgColor indexed="64"/>
      </patternFill>
    </fill>
    <fill>
      <patternFill patternType="darkUp">
        <bgColor theme="6" tint="0.79998168889431442"/>
      </patternFill>
    </fill>
    <fill>
      <patternFill patternType="darkUp"/>
    </fill>
    <fill>
      <patternFill patternType="solid">
        <fgColor theme="4" tint="0.39997558519241921"/>
        <bgColor indexed="64"/>
      </patternFill>
    </fill>
    <fill>
      <patternFill patternType="lightUp">
        <bgColor theme="4" tint="0.39997558519241921"/>
      </patternFill>
    </fill>
    <fill>
      <patternFill patternType="lightUp"/>
    </fill>
    <fill>
      <patternFill patternType="solid">
        <fgColor indexed="65"/>
        <bgColor indexed="64"/>
      </patternFill>
    </fill>
    <fill>
      <patternFill patternType="lightUp">
        <bgColor theme="4" tint="0.79998168889431442"/>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59999389629810485"/>
      </patternFill>
    </fill>
    <fill>
      <patternFill patternType="darkUp">
        <bgColor theme="3" tint="0.79998168889431442"/>
      </patternFill>
    </fill>
  </fills>
  <borders count="9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indexed="64"/>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Dashed">
        <color indexed="64"/>
      </left>
      <right style="medium">
        <color indexed="64"/>
      </right>
      <top style="medium">
        <color indexed="64"/>
      </top>
      <bottom/>
      <diagonal/>
    </border>
    <border>
      <left/>
      <right style="dashDot">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theme="1"/>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cellStyleXfs>
  <cellXfs count="97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4" fillId="2" borderId="0" xfId="0" applyNumberFormat="1" applyFont="1" applyFill="1" applyBorder="1" applyAlignment="1" applyProtection="1">
      <alignment horizontal="left" vertical="center"/>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6" fillId="3" borderId="0"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15" fontId="7" fillId="0" borderId="0" xfId="0" quotePrefix="1" applyNumberFormat="1" applyFont="1" applyAlignment="1">
      <alignment vertical="top"/>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166" fontId="11" fillId="4" borderId="52" xfId="6" applyNumberFormat="1" applyFont="1" applyFill="1" applyBorder="1" applyAlignment="1" applyProtection="1">
      <alignment horizontal="right" vertical="center" wrapText="1"/>
      <protection locked="0"/>
    </xf>
    <xf numFmtId="166" fontId="10" fillId="5" borderId="52" xfId="6" applyNumberFormat="1" applyFont="1" applyFill="1" applyBorder="1" applyAlignment="1" applyProtection="1">
      <alignment horizontal="right" vertical="center" wrapText="1"/>
    </xf>
    <xf numFmtId="0" fontId="13"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right" vertical="top" wrapText="1"/>
      <protection locked="0"/>
    </xf>
    <xf numFmtId="166" fontId="11" fillId="5" borderId="52" xfId="6" applyNumberFormat="1" applyFont="1" applyFill="1" applyBorder="1" applyAlignment="1" applyProtection="1">
      <alignment horizontal="right" vertical="top" wrapText="1"/>
    </xf>
    <xf numFmtId="166" fontId="11" fillId="5" borderId="57" xfId="6" applyNumberFormat="1" applyFont="1" applyFill="1" applyBorder="1" applyAlignment="1" applyProtection="1">
      <alignment horizontal="right" vertical="top" wrapText="1"/>
    </xf>
    <xf numFmtId="166" fontId="11" fillId="4" borderId="57" xfId="6" applyNumberFormat="1" applyFont="1" applyFill="1" applyBorder="1" applyAlignment="1" applyProtection="1">
      <alignment horizontal="right" vertical="top" wrapText="1"/>
      <protection locked="0"/>
    </xf>
    <xf numFmtId="166" fontId="11" fillId="4" borderId="54" xfId="6" applyNumberFormat="1" applyFont="1" applyFill="1" applyBorder="1" applyAlignment="1" applyProtection="1">
      <alignment horizontal="right" vertical="top" wrapText="1"/>
      <protection locked="0"/>
    </xf>
    <xf numFmtId="166" fontId="11" fillId="4" borderId="64" xfId="6" applyNumberFormat="1" applyFont="1" applyFill="1" applyBorder="1" applyAlignment="1" applyProtection="1">
      <alignment horizontal="right" vertical="top" wrapText="1"/>
      <protection locked="0"/>
    </xf>
    <xf numFmtId="166" fontId="11" fillId="4" borderId="70" xfId="6" applyNumberFormat="1" applyFont="1" applyFill="1" applyBorder="1" applyAlignment="1" applyProtection="1">
      <alignment horizontal="right" vertical="top" wrapText="1"/>
      <protection locked="0"/>
    </xf>
    <xf numFmtId="166" fontId="11" fillId="4" borderId="71" xfId="6" applyNumberFormat="1" applyFont="1" applyFill="1" applyBorder="1" applyAlignment="1" applyProtection="1">
      <alignment horizontal="right" vertical="top" wrapText="1"/>
      <protection locked="0"/>
    </xf>
    <xf numFmtId="0" fontId="9" fillId="7" borderId="57" xfId="0" applyNumberFormat="1" applyFont="1" applyFill="1" applyBorder="1" applyAlignment="1" applyProtection="1">
      <alignment horizontal="center" vertical="top" wrapText="1"/>
    </xf>
    <xf numFmtId="166" fontId="11" fillId="5" borderId="52" xfId="6" applyNumberFormat="1" applyFont="1" applyFill="1" applyBorder="1" applyAlignment="1" applyProtection="1">
      <alignment horizontal="right" vertical="center" wrapText="1"/>
    </xf>
    <xf numFmtId="0" fontId="8" fillId="0" borderId="52" xfId="0" applyNumberFormat="1" applyFont="1" applyFill="1" applyBorder="1" applyAlignment="1" applyProtection="1">
      <alignment horizontal="center" vertical="top" wrapText="1"/>
    </xf>
    <xf numFmtId="166" fontId="11" fillId="4" borderId="57" xfId="6" applyNumberFormat="1" applyFont="1" applyFill="1" applyBorder="1" applyAlignment="1" applyProtection="1">
      <alignment horizontal="right" vertical="center" wrapText="1"/>
      <protection locked="0"/>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1" fontId="11" fillId="5" borderId="52" xfId="1" applyNumberFormat="1" applyFont="1" applyFill="1" applyBorder="1" applyAlignment="1" applyProtection="1">
      <alignment horizontal="center" vertical="center" wrapText="1"/>
    </xf>
    <xf numFmtId="166" fontId="10" fillId="5" borderId="52" xfId="6" applyNumberFormat="1" applyFont="1" applyFill="1" applyBorder="1" applyAlignment="1" applyProtection="1">
      <alignment horizontal="right" vertical="top" wrapText="1"/>
    </xf>
    <xf numFmtId="166" fontId="10" fillId="5" borderId="57" xfId="6" applyNumberFormat="1" applyFont="1" applyFill="1" applyBorder="1" applyAlignment="1" applyProtection="1">
      <alignment horizontal="right" vertical="center" wrapText="1"/>
    </xf>
    <xf numFmtId="166" fontId="10" fillId="5" borderId="57" xfId="6" applyNumberFormat="1" applyFont="1" applyFill="1" applyBorder="1" applyAlignment="1" applyProtection="1">
      <alignment horizontal="right"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9" fillId="7" borderId="52"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7" fillId="0" borderId="0" xfId="0" quotePrefix="1" applyFont="1" applyAlignment="1">
      <alignment vertical="top"/>
    </xf>
    <xf numFmtId="165" fontId="11" fillId="5" borderId="67" xfId="6" applyNumberFormat="1" applyFont="1" applyFill="1" applyBorder="1" applyAlignment="1" applyProtection="1">
      <alignment horizontal="right" vertical="top" wrapText="1"/>
    </xf>
    <xf numFmtId="165" fontId="11" fillId="5" borderId="68" xfId="6" applyNumberFormat="1" applyFont="1" applyFill="1" applyBorder="1" applyAlignment="1" applyProtection="1">
      <alignment horizontal="right" vertical="top" wrapText="1"/>
    </xf>
    <xf numFmtId="165" fontId="11" fillId="5" borderId="52" xfId="6" applyNumberFormat="1" applyFont="1" applyFill="1" applyBorder="1" applyAlignment="1" applyProtection="1">
      <alignment horizontal="right" vertical="center" wrapText="1"/>
    </xf>
    <xf numFmtId="165" fontId="11" fillId="5" borderId="57" xfId="6" applyNumberFormat="1" applyFont="1" applyFill="1" applyBorder="1" applyAlignment="1" applyProtection="1">
      <alignment horizontal="righ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0" borderId="3" xfId="0" applyNumberFormat="1" applyFont="1" applyFill="1" applyBorder="1" applyAlignment="1" applyProtection="1">
      <alignment horizontal="left" vertical="top"/>
    </xf>
    <xf numFmtId="0" fontId="8" fillId="0" borderId="4" xfId="0" applyFont="1" applyBorder="1" applyAlignment="1">
      <alignment horizontal="left" vertical="top"/>
    </xf>
    <xf numFmtId="0" fontId="7" fillId="2" borderId="0" xfId="0" applyFont="1" applyFill="1"/>
    <xf numFmtId="0" fontId="7" fillId="2" borderId="3" xfId="0" applyFont="1" applyFill="1" applyBorder="1"/>
    <xf numFmtId="0" fontId="6" fillId="0" borderId="7"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vertical="top" wrapText="1"/>
    </xf>
    <xf numFmtId="0" fontId="12" fillId="0" borderId="3" xfId="0" applyFont="1" applyBorder="1" applyAlignment="1">
      <alignment wrapText="1"/>
    </xf>
    <xf numFmtId="0" fontId="7" fillId="2" borderId="0" xfId="0" applyFont="1" applyFill="1" applyBorder="1"/>
    <xf numFmtId="166" fontId="11" fillId="4" borderId="52" xfId="6" applyNumberFormat="1" applyFont="1" applyFill="1" applyBorder="1" applyAlignment="1" applyProtection="1">
      <alignment horizontal="right" vertical="center" wrapText="1"/>
      <protection locked="0"/>
    </xf>
    <xf numFmtId="0" fontId="38" fillId="3" borderId="10" xfId="0" applyFont="1" applyFill="1" applyBorder="1"/>
    <xf numFmtId="166" fontId="38" fillId="3" borderId="10" xfId="6" applyNumberFormat="1" applyFont="1" applyFill="1" applyBorder="1"/>
    <xf numFmtId="166" fontId="38" fillId="3" borderId="10" xfId="6" applyNumberFormat="1" applyFont="1" applyFill="1" applyBorder="1" applyAlignment="1">
      <alignment horizontal="left"/>
    </xf>
    <xf numFmtId="166" fontId="38" fillId="3" borderId="27" xfId="6" applyNumberFormat="1" applyFont="1" applyFill="1" applyBorder="1"/>
    <xf numFmtId="0" fontId="38" fillId="3" borderId="10" xfId="0" applyFont="1" applyFill="1" applyBorder="1" applyAlignment="1">
      <alignment horizontal="center"/>
    </xf>
    <xf numFmtId="0" fontId="38" fillId="3" borderId="76" xfId="0" applyFont="1" applyFill="1" applyBorder="1" applyAlignment="1">
      <alignment horizontal="center"/>
    </xf>
    <xf numFmtId="0" fontId="38" fillId="3" borderId="77" xfId="0" applyFont="1" applyFill="1" applyBorder="1" applyAlignment="1">
      <alignment horizontal="center"/>
    </xf>
    <xf numFmtId="0" fontId="39" fillId="17" borderId="0" xfId="0" applyFont="1" applyFill="1"/>
    <xf numFmtId="0" fontId="39" fillId="18" borderId="0" xfId="0" applyFont="1" applyFill="1"/>
    <xf numFmtId="166" fontId="39" fillId="18" borderId="0" xfId="6" applyNumberFormat="1" applyFont="1" applyFill="1"/>
    <xf numFmtId="166" fontId="39" fillId="18" borderId="0" xfId="6" applyNumberFormat="1" applyFont="1" applyFill="1" applyBorder="1"/>
    <xf numFmtId="166" fontId="21" fillId="18" borderId="15" xfId="6" applyNumberFormat="1" applyFont="1" applyFill="1" applyBorder="1" applyAlignment="1"/>
    <xf numFmtId="1" fontId="21" fillId="17" borderId="0" xfId="0" applyNumberFormat="1" applyFont="1" applyFill="1" applyAlignment="1">
      <alignment horizontal="center"/>
    </xf>
    <xf numFmtId="166" fontId="14" fillId="0" borderId="0" xfId="6" applyNumberFormat="1" applyFont="1" applyFill="1"/>
    <xf numFmtId="166" fontId="14" fillId="0" borderId="0" xfId="6" applyNumberFormat="1" applyFont="1" applyFill="1" applyAlignment="1">
      <alignment horizontal="left"/>
    </xf>
    <xf numFmtId="166" fontId="14" fillId="0" borderId="15" xfId="6" applyNumberFormat="1" applyFont="1" applyFill="1" applyBorder="1"/>
    <xf numFmtId="1" fontId="14" fillId="17" borderId="0" xfId="0" applyNumberFormat="1" applyFont="1" applyFill="1" applyAlignment="1">
      <alignment horizontal="center"/>
    </xf>
    <xf numFmtId="0" fontId="14" fillId="15" borderId="0" xfId="0" applyFont="1" applyFill="1"/>
    <xf numFmtId="166" fontId="14" fillId="15" borderId="0" xfId="6" applyNumberFormat="1" applyFont="1" applyFill="1"/>
    <xf numFmtId="166" fontId="14" fillId="15" borderId="0" xfId="6" applyNumberFormat="1" applyFont="1" applyFill="1" applyAlignment="1">
      <alignment horizontal="left"/>
    </xf>
    <xf numFmtId="166" fontId="14" fillId="15" borderId="15" xfId="6" applyNumberFormat="1" applyFont="1" applyFill="1" applyBorder="1"/>
    <xf numFmtId="0" fontId="40" fillId="3" borderId="0" xfId="7" applyFont="1" applyFill="1" applyAlignment="1">
      <alignment wrapText="1"/>
    </xf>
    <xf numFmtId="0" fontId="41" fillId="3" borderId="0" xfId="7" applyFont="1" applyFill="1"/>
    <xf numFmtId="0" fontId="42" fillId="3" borderId="0" xfId="0" applyFont="1" applyFill="1"/>
    <xf numFmtId="0" fontId="40" fillId="3" borderId="0" xfId="7" applyFont="1" applyFill="1" applyAlignment="1">
      <alignment horizontal="center" wrapText="1"/>
    </xf>
    <xf numFmtId="167" fontId="43" fillId="3" borderId="14" xfId="8" applyNumberFormat="1" applyFont="1" applyFill="1" applyBorder="1" applyAlignment="1">
      <alignment horizontal="left" wrapText="1"/>
    </xf>
    <xf numFmtId="167" fontId="43" fillId="3" borderId="14" xfId="8" applyNumberFormat="1" applyFont="1" applyFill="1" applyBorder="1" applyAlignment="1">
      <alignment horizontal="center" wrapText="1"/>
    </xf>
    <xf numFmtId="167" fontId="43" fillId="3" borderId="79" xfId="8" applyNumberFormat="1" applyFont="1" applyFill="1" applyBorder="1" applyAlignment="1">
      <alignment horizontal="left" wrapText="1"/>
    </xf>
    <xf numFmtId="43" fontId="43" fillId="3" borderId="0" xfId="8" applyNumberFormat="1" applyFont="1" applyFill="1" applyAlignment="1">
      <alignment horizontal="left" wrapText="1"/>
    </xf>
    <xf numFmtId="43" fontId="43" fillId="3" borderId="14" xfId="8" applyNumberFormat="1" applyFont="1" applyFill="1" applyBorder="1" applyAlignment="1">
      <alignment horizontal="left" wrapText="1"/>
    </xf>
    <xf numFmtId="43" fontId="43" fillId="3" borderId="79" xfId="8" applyNumberFormat="1" applyFont="1" applyFill="1" applyBorder="1" applyAlignment="1">
      <alignment horizontal="left" wrapText="1"/>
    </xf>
    <xf numFmtId="0" fontId="43" fillId="3" borderId="14" xfId="8" applyFont="1" applyFill="1" applyBorder="1" applyAlignment="1">
      <alignment horizontal="left" wrapText="1"/>
    </xf>
    <xf numFmtId="0" fontId="43" fillId="3" borderId="79" xfId="8" applyFont="1" applyFill="1" applyBorder="1" applyAlignment="1">
      <alignment horizontal="left" wrapText="1"/>
    </xf>
    <xf numFmtId="167" fontId="43" fillId="3" borderId="14" xfId="6" applyNumberFormat="1" applyFont="1" applyFill="1" applyBorder="1" applyAlignment="1" applyProtection="1">
      <alignment horizontal="left" wrapText="1"/>
    </xf>
    <xf numFmtId="0" fontId="44" fillId="12" borderId="0" xfId="7" applyFont="1" applyFill="1"/>
    <xf numFmtId="0" fontId="44" fillId="12" borderId="0" xfId="7" quotePrefix="1" applyFont="1" applyFill="1"/>
    <xf numFmtId="0" fontId="44" fillId="19" borderId="0" xfId="7" quotePrefix="1" applyFont="1" applyFill="1"/>
    <xf numFmtId="0" fontId="45" fillId="19" borderId="0" xfId="7" applyFont="1" applyFill="1"/>
    <xf numFmtId="0" fontId="45" fillId="12" borderId="0" xfId="7" applyFont="1" applyFill="1"/>
    <xf numFmtId="0" fontId="44" fillId="12" borderId="0" xfId="7" applyFont="1" applyFill="1" applyAlignment="1">
      <alignment horizontal="left"/>
    </xf>
    <xf numFmtId="0" fontId="44" fillId="0" borderId="15" xfId="7" applyFont="1" applyBorder="1"/>
    <xf numFmtId="167" fontId="44" fillId="12" borderId="0" xfId="6" applyNumberFormat="1" applyFont="1" applyFill="1" applyBorder="1" applyAlignment="1">
      <alignment wrapText="1"/>
    </xf>
    <xf numFmtId="167" fontId="44" fillId="12" borderId="80" xfId="6" applyNumberFormat="1" applyFont="1" applyFill="1" applyBorder="1" applyAlignment="1">
      <alignment wrapText="1"/>
    </xf>
    <xf numFmtId="167" fontId="44" fillId="12" borderId="15" xfId="6" applyNumberFormat="1" applyFont="1" applyFill="1" applyBorder="1" applyAlignment="1">
      <alignment wrapText="1"/>
    </xf>
    <xf numFmtId="167" fontId="44" fillId="12" borderId="0" xfId="6" applyNumberFormat="1" applyFont="1" applyFill="1" applyBorder="1" applyAlignment="1" applyProtection="1">
      <alignment wrapText="1"/>
    </xf>
    <xf numFmtId="167" fontId="44" fillId="12" borderId="15" xfId="6" applyNumberFormat="1" applyFont="1" applyFill="1" applyBorder="1" applyAlignment="1" applyProtection="1">
      <alignment wrapText="1"/>
    </xf>
    <xf numFmtId="0" fontId="45" fillId="0" borderId="0" xfId="7" applyFont="1"/>
    <xf numFmtId="0" fontId="45" fillId="20" borderId="0" xfId="7" applyFont="1" applyFill="1"/>
    <xf numFmtId="0" fontId="45" fillId="0" borderId="0" xfId="7" applyFont="1" applyAlignment="1">
      <alignment horizontal="left"/>
    </xf>
    <xf numFmtId="0" fontId="45" fillId="0" borderId="15" xfId="7" applyFont="1" applyBorder="1"/>
    <xf numFmtId="167" fontId="45" fillId="0" borderId="0" xfId="6" applyNumberFormat="1" applyFont="1" applyFill="1" applyBorder="1" applyAlignment="1">
      <alignment wrapText="1"/>
    </xf>
    <xf numFmtId="167" fontId="45" fillId="0" borderId="80" xfId="6" applyNumberFormat="1" applyFont="1" applyFill="1" applyBorder="1" applyAlignment="1">
      <alignment wrapText="1"/>
    </xf>
    <xf numFmtId="167" fontId="45" fillId="0" borderId="15" xfId="6" applyNumberFormat="1" applyFont="1" applyFill="1" applyBorder="1" applyAlignment="1">
      <alignment wrapText="1"/>
    </xf>
    <xf numFmtId="167" fontId="45" fillId="0" borderId="0" xfId="6" applyNumberFormat="1" applyFont="1" applyFill="1" applyBorder="1" applyAlignment="1" applyProtection="1">
      <alignment wrapText="1"/>
    </xf>
    <xf numFmtId="167" fontId="45" fillId="0" borderId="15" xfId="6" applyNumberFormat="1" applyFont="1" applyFill="1" applyBorder="1" applyAlignment="1" applyProtection="1">
      <alignment wrapText="1"/>
    </xf>
    <xf numFmtId="166" fontId="14" fillId="0" borderId="0" xfId="6" applyNumberFormat="1" applyFont="1" applyFill="1" applyBorder="1"/>
    <xf numFmtId="166" fontId="14" fillId="0" borderId="0" xfId="6" applyNumberFormat="1" applyFont="1" applyFill="1" applyBorder="1" applyAlignment="1">
      <alignment horizontal="left"/>
    </xf>
    <xf numFmtId="1" fontId="14" fillId="0" borderId="0" xfId="0" applyNumberFormat="1" applyFont="1" applyAlignment="1">
      <alignment horizontal="center"/>
    </xf>
    <xf numFmtId="0" fontId="14" fillId="0" borderId="0" xfId="0" applyFont="1" applyAlignment="1">
      <alignment horizontal="center"/>
    </xf>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1" xfId="0" applyFont="1" applyFill="1" applyBorder="1"/>
    <xf numFmtId="0" fontId="20" fillId="0" borderId="0" xfId="0" applyFont="1"/>
    <xf numFmtId="0" fontId="38" fillId="0" borderId="0" xfId="0" applyFont="1"/>
    <xf numFmtId="167" fontId="24" fillId="2" borderId="14" xfId="4"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39" fillId="0" borderId="0" xfId="0" applyFont="1"/>
    <xf numFmtId="0" fontId="21" fillId="2" borderId="0" xfId="0" applyFont="1" applyFill="1" applyAlignment="1">
      <alignment horizontal="center"/>
    </xf>
    <xf numFmtId="0" fontId="20" fillId="2" borderId="14" xfId="0" applyFont="1" applyFill="1" applyBorder="1"/>
    <xf numFmtId="0" fontId="46" fillId="0" borderId="0" xfId="0" applyFont="1"/>
    <xf numFmtId="0" fontId="22" fillId="2" borderId="0" xfId="0" applyFont="1" applyFill="1"/>
    <xf numFmtId="167" fontId="24" fillId="2" borderId="0" xfId="4" applyNumberFormat="1" applyFont="1" applyFill="1" applyBorder="1" applyAlignment="1">
      <alignment horizontal="centerContinuous"/>
    </xf>
    <xf numFmtId="167" fontId="24" fillId="2" borderId="0" xfId="4" applyNumberFormat="1" applyFont="1" applyFill="1" applyBorder="1" applyAlignment="1">
      <alignment horizontal="center"/>
    </xf>
    <xf numFmtId="164" fontId="22" fillId="2" borderId="0" xfId="3" quotePrefix="1" applyNumberFormat="1" applyFont="1" applyFill="1" applyAlignment="1">
      <alignment horizontal="left" indent="1"/>
    </xf>
    <xf numFmtId="0" fontId="20" fillId="2" borderId="0" xfId="3" applyFont="1" applyFill="1" applyAlignment="1">
      <alignment horizontal="left" indent="2"/>
    </xf>
    <xf numFmtId="169" fontId="20" fillId="17" borderId="0" xfId="4" applyNumberFormat="1" applyFont="1" applyFill="1" applyBorder="1" applyAlignment="1">
      <alignment horizontal="right"/>
    </xf>
    <xf numFmtId="169" fontId="20" fillId="2" borderId="0" xfId="4" applyNumberFormat="1" applyFont="1" applyFill="1" applyBorder="1"/>
    <xf numFmtId="0" fontId="47" fillId="2" borderId="14" xfId="0" applyFont="1" applyFill="1" applyBorder="1"/>
    <xf numFmtId="0" fontId="47" fillId="2" borderId="0" xfId="3" applyFont="1" applyFill="1" applyAlignment="1">
      <alignment horizontal="left" indent="1"/>
    </xf>
    <xf numFmtId="169" fontId="24" fillId="2" borderId="0" xfId="4" applyNumberFormat="1" applyFont="1" applyFill="1" applyBorder="1" applyAlignment="1">
      <alignment horizontal="right"/>
    </xf>
    <xf numFmtId="169" fontId="24" fillId="2" borderId="0" xfId="4" applyNumberFormat="1" applyFont="1" applyFill="1" applyBorder="1"/>
    <xf numFmtId="0" fontId="47" fillId="2" borderId="15" xfId="0" applyFont="1" applyFill="1" applyBorder="1"/>
    <xf numFmtId="0" fontId="47" fillId="0" borderId="0" xfId="0" applyFont="1"/>
    <xf numFmtId="169" fontId="20" fillId="2" borderId="0" xfId="4" applyNumberFormat="1" applyFont="1" applyFill="1" applyBorder="1" applyAlignment="1">
      <alignment horizontal="right"/>
    </xf>
    <xf numFmtId="0" fontId="20" fillId="2" borderId="0" xfId="4" quotePrefix="1" applyNumberFormat="1" applyFont="1" applyFill="1" applyBorder="1" applyAlignment="1">
      <alignment horizontal="left" indent="2"/>
    </xf>
    <xf numFmtId="0" fontId="24" fillId="2" borderId="0" xfId="3" quotePrefix="1" applyFont="1" applyFill="1" applyAlignment="1">
      <alignment horizontal="left" indent="1"/>
    </xf>
    <xf numFmtId="169" fontId="24" fillId="8" borderId="11" xfId="4" applyNumberFormat="1" applyFont="1" applyFill="1" applyBorder="1" applyAlignment="1">
      <alignment horizontal="right"/>
    </xf>
    <xf numFmtId="0" fontId="24" fillId="2" borderId="14" xfId="0" applyFont="1" applyFill="1" applyBorder="1"/>
    <xf numFmtId="0" fontId="22" fillId="2" borderId="0" xfId="0" quotePrefix="1" applyFont="1" applyFill="1" applyAlignment="1">
      <alignment horizontal="left" indent="1"/>
    </xf>
    <xf numFmtId="0" fontId="22" fillId="2" borderId="0" xfId="0" quotePrefix="1" applyFont="1" applyFill="1" applyAlignment="1">
      <alignment horizontal="right" indent="1"/>
    </xf>
    <xf numFmtId="0" fontId="20" fillId="2" borderId="0" xfId="4" applyNumberFormat="1" applyFont="1" applyFill="1" applyBorder="1" applyAlignment="1">
      <alignment horizontal="left" indent="2"/>
    </xf>
    <xf numFmtId="169" fontId="20" fillId="8" borderId="0" xfId="4" applyNumberFormat="1" applyFont="1" applyFill="1" applyBorder="1" applyAlignment="1">
      <alignment horizontal="right"/>
    </xf>
    <xf numFmtId="0" fontId="20" fillId="2" borderId="0" xfId="0" applyFont="1" applyFill="1" applyAlignment="1">
      <alignment horizontal="left" indent="1"/>
    </xf>
    <xf numFmtId="0" fontId="24" fillId="2" borderId="0" xfId="0" applyFont="1" applyFill="1" applyAlignment="1">
      <alignment horizontal="left" indent="2"/>
    </xf>
    <xf numFmtId="169" fontId="24" fillId="17" borderId="0" xfId="4" applyNumberFormat="1" applyFont="1" applyFill="1" applyBorder="1" applyAlignment="1">
      <alignment horizontal="right"/>
    </xf>
    <xf numFmtId="0" fontId="20" fillId="2" borderId="0" xfId="4" quotePrefix="1" applyNumberFormat="1" applyFont="1" applyFill="1" applyBorder="1" applyAlignment="1">
      <alignment horizontal="left" indent="3"/>
    </xf>
    <xf numFmtId="0" fontId="20" fillId="2" borderId="0" xfId="0" applyFont="1" applyFill="1" applyAlignment="1">
      <alignment horizontal="left" indent="3"/>
    </xf>
    <xf numFmtId="0" fontId="24" fillId="2" borderId="15" xfId="0" applyFont="1" applyFill="1" applyBorder="1"/>
    <xf numFmtId="0" fontId="24" fillId="0" borderId="0" xfId="0" applyFont="1"/>
    <xf numFmtId="0" fontId="20" fillId="2" borderId="0" xfId="0" applyFont="1" applyFill="1" applyAlignment="1">
      <alignment horizontal="left" wrapText="1" indent="3"/>
    </xf>
    <xf numFmtId="0" fontId="24" fillId="2" borderId="10" xfId="0" applyFont="1" applyFill="1" applyBorder="1"/>
    <xf numFmtId="0" fontId="20" fillId="2" borderId="0" xfId="0" applyFont="1" applyFill="1" applyAlignment="1">
      <alignment horizontal="left"/>
    </xf>
    <xf numFmtId="0" fontId="20" fillId="2" borderId="11" xfId="3" applyFont="1" applyFill="1" applyBorder="1" applyAlignment="1">
      <alignment horizontal="left"/>
    </xf>
    <xf numFmtId="0" fontId="20" fillId="2" borderId="0" xfId="3" applyFont="1" applyFill="1" applyAlignment="1">
      <alignment horizontal="left"/>
    </xf>
    <xf numFmtId="0" fontId="20" fillId="2" borderId="0" xfId="3" quotePrefix="1" applyFont="1" applyFill="1" applyAlignment="1">
      <alignment horizontal="left"/>
    </xf>
    <xf numFmtId="0" fontId="20" fillId="2" borderId="82" xfId="0" applyFont="1" applyFill="1" applyBorder="1"/>
    <xf numFmtId="0" fontId="20" fillId="2" borderId="16" xfId="0" applyFont="1" applyFill="1" applyBorder="1"/>
    <xf numFmtId="0" fontId="20" fillId="2" borderId="83" xfId="0" applyFont="1" applyFill="1" applyBorder="1"/>
    <xf numFmtId="0" fontId="46" fillId="2" borderId="0" xfId="0" applyFont="1" applyFill="1"/>
    <xf numFmtId="164" fontId="22" fillId="2" borderId="0" xfId="3" quotePrefix="1" applyNumberFormat="1" applyFont="1" applyFill="1"/>
    <xf numFmtId="0" fontId="24" fillId="2" borderId="0" xfId="0" applyFont="1" applyFill="1" applyAlignment="1">
      <alignment horizontal="left" indent="1"/>
    </xf>
    <xf numFmtId="0" fontId="20" fillId="2" borderId="0" xfId="0" applyFont="1" applyFill="1" applyAlignment="1">
      <alignment horizontal="left" indent="2"/>
    </xf>
    <xf numFmtId="0" fontId="24" fillId="2" borderId="16" xfId="0" applyFont="1" applyFill="1" applyBorder="1"/>
    <xf numFmtId="169" fontId="24" fillId="2" borderId="16" xfId="4" applyNumberFormat="1" applyFont="1" applyFill="1" applyBorder="1" applyAlignment="1">
      <alignment horizontal="right"/>
    </xf>
    <xf numFmtId="169" fontId="24" fillId="2" borderId="16" xfId="4" applyNumberFormat="1" applyFont="1" applyFill="1" applyBorder="1"/>
    <xf numFmtId="0" fontId="14" fillId="2" borderId="12" xfId="0" applyFont="1" applyFill="1" applyBorder="1"/>
    <xf numFmtId="0" fontId="14" fillId="2" borderId="13" xfId="0" applyFont="1" applyFill="1" applyBorder="1"/>
    <xf numFmtId="0" fontId="14" fillId="2" borderId="81" xfId="0" applyFont="1" applyFill="1" applyBorder="1"/>
    <xf numFmtId="0" fontId="14" fillId="2" borderId="14" xfId="0" applyFont="1" applyFill="1" applyBorder="1"/>
    <xf numFmtId="0" fontId="14" fillId="2" borderId="0" xfId="0" applyFont="1" applyFill="1"/>
    <xf numFmtId="0" fontId="48" fillId="2" borderId="0" xfId="0" applyFont="1" applyFill="1" applyAlignment="1">
      <alignment horizontal="center"/>
    </xf>
    <xf numFmtId="0" fontId="14" fillId="2" borderId="15" xfId="0" applyFont="1" applyFill="1" applyBorder="1"/>
    <xf numFmtId="167" fontId="24" fillId="2" borderId="14" xfId="6" applyNumberFormat="1" applyFont="1" applyFill="1" applyBorder="1"/>
    <xf numFmtId="0" fontId="46" fillId="2" borderId="0" xfId="0" applyFont="1" applyFill="1" applyAlignment="1">
      <alignment horizontal="left"/>
    </xf>
    <xf numFmtId="0" fontId="22" fillId="2" borderId="0" xfId="0" applyFont="1" applyFill="1" applyAlignment="1">
      <alignment horizontal="left"/>
    </xf>
    <xf numFmtId="0" fontId="23" fillId="2" borderId="0" xfId="0" applyFont="1" applyFill="1"/>
    <xf numFmtId="166" fontId="20" fillId="17"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6" fontId="20" fillId="8" borderId="0" xfId="6" quotePrefix="1" applyNumberFormat="1" applyFont="1" applyFill="1" applyBorder="1" applyAlignment="1">
      <alignment horizontal="right" wrapText="1"/>
    </xf>
    <xf numFmtId="168" fontId="20" fillId="2" borderId="0" xfId="6" applyNumberFormat="1" applyFont="1" applyFill="1" applyBorder="1" applyAlignment="1">
      <alignment horizontal="right"/>
    </xf>
    <xf numFmtId="168" fontId="20" fillId="17"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6" fontId="14" fillId="2"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vertical="top" wrapText="1"/>
    </xf>
    <xf numFmtId="0" fontId="14" fillId="2" borderId="0" xfId="0" applyFont="1" applyFill="1" applyAlignment="1">
      <alignment horizontal="left" indent="1"/>
    </xf>
    <xf numFmtId="0" fontId="23" fillId="2" borderId="0" xfId="0" applyFont="1" applyFill="1" applyAlignment="1">
      <alignment horizontal="left" indent="1"/>
    </xf>
    <xf numFmtId="168" fontId="24" fillId="2" borderId="0" xfId="6" applyNumberFormat="1" applyFont="1" applyFill="1" applyBorder="1" applyAlignment="1">
      <alignment horizontal="center"/>
    </xf>
    <xf numFmtId="0" fontId="22" fillId="2" borderId="11" xfId="6" quotePrefix="1" applyNumberFormat="1" applyFont="1" applyFill="1" applyBorder="1" applyAlignment="1">
      <alignment horizontal="right" wrapText="1"/>
    </xf>
    <xf numFmtId="168" fontId="20" fillId="2" borderId="10" xfId="0" applyNumberFormat="1" applyFont="1" applyFill="1" applyBorder="1"/>
    <xf numFmtId="168" fontId="20" fillId="2" borderId="0" xfId="0" applyNumberFormat="1" applyFont="1" applyFill="1"/>
    <xf numFmtId="0" fontId="14" fillId="2" borderId="82" xfId="0" applyFont="1" applyFill="1" applyBorder="1"/>
    <xf numFmtId="0" fontId="14" fillId="2" borderId="16" xfId="0" applyFont="1" applyFill="1" applyBorder="1"/>
    <xf numFmtId="0" fontId="14" fillId="2" borderId="83" xfId="0" applyFont="1" applyFill="1" applyBorder="1"/>
    <xf numFmtId="166" fontId="0" fillId="0" borderId="0" xfId="6" applyNumberFormat="1" applyFont="1" applyFill="1" applyBorder="1"/>
    <xf numFmtId="0" fontId="38" fillId="0" borderId="0" xfId="0" applyFont="1" applyAlignment="1">
      <alignment horizontal="center"/>
    </xf>
    <xf numFmtId="166" fontId="39" fillId="0" borderId="0" xfId="6" applyNumberFormat="1" applyFont="1" applyFill="1" applyBorder="1"/>
    <xf numFmtId="166" fontId="21" fillId="0" borderId="0" xfId="6" applyNumberFormat="1" applyFont="1" applyFill="1" applyBorder="1" applyAlignment="1"/>
    <xf numFmtId="1" fontId="21" fillId="0" borderId="0" xfId="0" applyNumberFormat="1" applyFont="1" applyAlignment="1">
      <alignment horizontal="center"/>
    </xf>
    <xf numFmtId="0" fontId="21"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0" xfId="0" applyFont="1" applyFill="1" applyAlignment="1">
      <alignment horizontal="center"/>
    </xf>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4" applyNumberFormat="1" applyFont="1" applyFill="1" applyBorder="1" applyAlignment="1">
      <alignment horizontal="right" wrapText="1"/>
    </xf>
    <xf numFmtId="1" fontId="22" fillId="2" borderId="0" xfId="4" applyNumberFormat="1" applyFont="1" applyFill="1" applyBorder="1" applyAlignment="1">
      <alignment horizontal="left" wrapText="1" indent="3"/>
    </xf>
    <xf numFmtId="0" fontId="49" fillId="2" borderId="14" xfId="0" applyFont="1" applyFill="1" applyBorder="1"/>
    <xf numFmtId="168" fontId="50" fillId="2" borderId="0" xfId="0" applyNumberFormat="1" applyFont="1" applyFill="1"/>
    <xf numFmtId="1" fontId="50" fillId="2" borderId="0" xfId="4" applyNumberFormat="1" applyFont="1" applyFill="1" applyBorder="1" applyAlignment="1">
      <alignment horizontal="right" wrapText="1"/>
    </xf>
    <xf numFmtId="1" fontId="50" fillId="2" borderId="0" xfId="4" applyNumberFormat="1" applyFont="1" applyFill="1" applyBorder="1" applyAlignment="1">
      <alignment horizontal="left" wrapText="1" indent="3"/>
    </xf>
    <xf numFmtId="0" fontId="49" fillId="2" borderId="15" xfId="0" applyFont="1" applyFill="1" applyBorder="1"/>
    <xf numFmtId="0" fontId="49" fillId="0" borderId="0" xfId="0" applyFont="1"/>
    <xf numFmtId="0" fontId="20" fillId="8" borderId="0" xfId="0" applyFont="1" applyFill="1" applyAlignment="1">
      <alignment horizontal="left" indent="1"/>
    </xf>
    <xf numFmtId="165" fontId="20" fillId="8" borderId="0" xfId="1" applyFont="1" applyFill="1" applyBorder="1" applyAlignment="1">
      <alignment horizontal="right"/>
    </xf>
    <xf numFmtId="0" fontId="20" fillId="2" borderId="0" xfId="0" applyFont="1" applyFill="1" applyAlignment="1">
      <alignment horizontal="left" indent="4"/>
    </xf>
    <xf numFmtId="165" fontId="20" fillId="2" borderId="0" xfId="1" applyFont="1" applyFill="1" applyBorder="1" applyAlignment="1">
      <alignment horizontal="left" indent="4"/>
    </xf>
    <xf numFmtId="0" fontId="20" fillId="2" borderId="0" xfId="0" applyFont="1" applyFill="1" applyAlignment="1">
      <alignment horizontal="left" wrapText="1" indent="4"/>
    </xf>
    <xf numFmtId="0" fontId="20" fillId="2" borderId="0" xfId="0" applyFont="1" applyFill="1" applyAlignment="1">
      <alignment horizontal="left" wrapText="1" indent="1"/>
    </xf>
    <xf numFmtId="0" fontId="24" fillId="8" borderId="0" xfId="0" applyFont="1" applyFill="1"/>
    <xf numFmtId="165" fontId="24" fillId="8" borderId="11" xfId="1" applyFont="1" applyFill="1" applyBorder="1" applyAlignment="1">
      <alignment horizontal="right"/>
    </xf>
    <xf numFmtId="165" fontId="24" fillId="8" borderId="0" xfId="1" applyFont="1" applyFill="1" applyBorder="1" applyAlignment="1">
      <alignment horizontal="right"/>
    </xf>
    <xf numFmtId="165" fontId="24" fillId="2" borderId="0" xfId="1" applyFont="1" applyFill="1" applyBorder="1" applyAlignment="1">
      <alignment horizontal="left" indent="3"/>
    </xf>
    <xf numFmtId="168" fontId="20" fillId="2" borderId="11" xfId="0" applyNumberFormat="1" applyFont="1" applyFill="1" applyBorder="1"/>
    <xf numFmtId="0" fontId="20" fillId="17" borderId="0" xfId="0" applyFont="1" applyFill="1"/>
    <xf numFmtId="167" fontId="20" fillId="17" borderId="1" xfId="4" applyNumberFormat="1" applyFont="1" applyFill="1" applyBorder="1"/>
    <xf numFmtId="167" fontId="20" fillId="17" borderId="11" xfId="4" applyNumberFormat="1" applyFont="1" applyFill="1" applyBorder="1"/>
    <xf numFmtId="167" fontId="20" fillId="17" borderId="2" xfId="4" applyNumberFormat="1" applyFont="1" applyFill="1" applyBorder="1"/>
    <xf numFmtId="167" fontId="20" fillId="0" borderId="0" xfId="4" applyNumberFormat="1" applyFont="1" applyFill="1" applyBorder="1"/>
    <xf numFmtId="167" fontId="20" fillId="17" borderId="4" xfId="4" applyNumberFormat="1" applyFont="1" applyFill="1" applyBorder="1"/>
    <xf numFmtId="167" fontId="20" fillId="17" borderId="0" xfId="4" applyNumberFormat="1" applyFont="1" applyFill="1" applyBorder="1"/>
    <xf numFmtId="167" fontId="20" fillId="17" borderId="3" xfId="4" applyNumberFormat="1" applyFont="1" applyFill="1" applyBorder="1"/>
    <xf numFmtId="0" fontId="20" fillId="0" borderId="0" xfId="0" applyFont="1" applyAlignment="1">
      <alignment wrapText="1"/>
    </xf>
    <xf numFmtId="167" fontId="20" fillId="17" borderId="7" xfId="4" applyNumberFormat="1" applyFont="1" applyFill="1" applyBorder="1"/>
    <xf numFmtId="167" fontId="20" fillId="17" borderId="10" xfId="4" applyNumberFormat="1" applyFont="1" applyFill="1" applyBorder="1"/>
    <xf numFmtId="167" fontId="20" fillId="17" borderId="8" xfId="4" applyNumberFormat="1" applyFont="1" applyFill="1" applyBorder="1"/>
    <xf numFmtId="167" fontId="20" fillId="0" borderId="0" xfId="4" applyNumberFormat="1" applyFont="1" applyFill="1"/>
    <xf numFmtId="166" fontId="38" fillId="0" borderId="0" xfId="6" applyNumberFormat="1" applyFont="1" applyFill="1" applyBorder="1"/>
    <xf numFmtId="166" fontId="38" fillId="0" borderId="0" xfId="6" applyNumberFormat="1" applyFont="1" applyFill="1" applyBorder="1" applyAlignment="1">
      <alignment horizontal="left"/>
    </xf>
    <xf numFmtId="0" fontId="24" fillId="2" borderId="13" xfId="0" applyFont="1" applyFill="1" applyBorder="1" applyAlignment="1">
      <alignment horizontal="center"/>
    </xf>
    <xf numFmtId="0" fontId="24" fillId="2" borderId="0" xfId="0" applyFont="1" applyFill="1" applyAlignment="1">
      <alignment horizontal="center" wrapText="1"/>
    </xf>
    <xf numFmtId="0" fontId="49" fillId="2" borderId="0" xfId="0" applyFont="1" applyFill="1"/>
    <xf numFmtId="0" fontId="50" fillId="2" borderId="0" xfId="0" applyFont="1" applyFill="1"/>
    <xf numFmtId="0" fontId="20" fillId="17" borderId="0" xfId="0" applyFont="1" applyFill="1" applyAlignment="1">
      <alignment horizontal="left" indent="1"/>
    </xf>
    <xf numFmtId="0" fontId="20" fillId="17" borderId="0" xfId="0" applyFont="1" applyFill="1" applyAlignment="1">
      <alignment horizontal="center"/>
    </xf>
    <xf numFmtId="0" fontId="20" fillId="2" borderId="0" xfId="0" applyFont="1" applyFill="1" applyAlignment="1">
      <alignment horizontal="center"/>
    </xf>
    <xf numFmtId="0" fontId="20" fillId="2" borderId="10" xfId="0" applyFont="1" applyFill="1" applyBorder="1"/>
    <xf numFmtId="0" fontId="26" fillId="3" borderId="84" xfId="7" applyFont="1" applyFill="1" applyBorder="1"/>
    <xf numFmtId="0" fontId="41" fillId="3" borderId="0" xfId="7" applyFont="1" applyFill="1" applyAlignment="1">
      <alignment wrapText="1"/>
    </xf>
    <xf numFmtId="0" fontId="26" fillId="3" borderId="11" xfId="7" applyFont="1" applyFill="1" applyBorder="1" applyAlignment="1">
      <alignment wrapText="1"/>
    </xf>
    <xf numFmtId="0" fontId="26" fillId="3" borderId="78" xfId="7" applyFont="1" applyFill="1" applyBorder="1" applyAlignment="1">
      <alignment wrapText="1"/>
    </xf>
    <xf numFmtId="0" fontId="26" fillId="3" borderId="84" xfId="7" applyFont="1" applyFill="1" applyBorder="1" applyAlignment="1">
      <alignment wrapText="1"/>
    </xf>
    <xf numFmtId="0" fontId="21" fillId="17" borderId="0" xfId="7" applyFont="1" applyFill="1"/>
    <xf numFmtId="0" fontId="21" fillId="21" borderId="0" xfId="7" applyFont="1" applyFill="1"/>
    <xf numFmtId="0" fontId="21" fillId="22" borderId="0" xfId="7" applyFont="1" applyFill="1"/>
    <xf numFmtId="0" fontId="21" fillId="21" borderId="15" xfId="7" applyFont="1" applyFill="1" applyBorder="1"/>
    <xf numFmtId="166" fontId="21" fillId="17" borderId="0" xfId="5" applyNumberFormat="1" applyFont="1" applyFill="1"/>
    <xf numFmtId="166" fontId="21" fillId="17" borderId="15" xfId="5" applyNumberFormat="1" applyFont="1" applyFill="1" applyBorder="1"/>
    <xf numFmtId="166" fontId="21" fillId="17" borderId="14" xfId="5" applyNumberFormat="1" applyFont="1" applyFill="1" applyBorder="1"/>
    <xf numFmtId="166" fontId="21" fillId="21" borderId="14" xfId="5" applyNumberFormat="1" applyFont="1" applyFill="1" applyBorder="1"/>
    <xf numFmtId="166" fontId="21" fillId="21" borderId="0" xfId="5" applyNumberFormat="1" applyFont="1" applyFill="1"/>
    <xf numFmtId="166" fontId="21" fillId="21" borderId="15" xfId="5" applyNumberFormat="1" applyFont="1" applyFill="1" applyBorder="1"/>
    <xf numFmtId="0" fontId="14" fillId="0" borderId="0" xfId="7" applyFont="1"/>
    <xf numFmtId="0" fontId="14" fillId="23" borderId="0" xfId="7" applyFont="1" applyFill="1"/>
    <xf numFmtId="0" fontId="14" fillId="24" borderId="0" xfId="7" applyFont="1" applyFill="1"/>
    <xf numFmtId="0" fontId="14" fillId="0" borderId="15" xfId="7" applyFont="1" applyBorder="1"/>
    <xf numFmtId="166" fontId="14" fillId="17" borderId="0" xfId="5" applyNumberFormat="1" applyFont="1" applyFill="1"/>
    <xf numFmtId="166" fontId="14" fillId="17" borderId="15" xfId="5" applyNumberFormat="1" applyFont="1" applyFill="1" applyBorder="1"/>
    <xf numFmtId="166" fontId="14" fillId="17" borderId="14" xfId="5" applyNumberFormat="1" applyFont="1" applyFill="1" applyBorder="1"/>
    <xf numFmtId="166" fontId="14" fillId="0" borderId="14" xfId="5" applyNumberFormat="1" applyFont="1" applyFill="1" applyBorder="1"/>
    <xf numFmtId="166" fontId="14" fillId="0" borderId="0" xfId="5" applyNumberFormat="1" applyFont="1" applyFill="1"/>
    <xf numFmtId="166" fontId="14" fillId="0" borderId="15" xfId="5" applyNumberFormat="1" applyFont="1" applyFill="1" applyBorder="1"/>
    <xf numFmtId="0" fontId="14" fillId="4" borderId="0" xfId="7" applyFont="1" applyFill="1"/>
    <xf numFmtId="0" fontId="14" fillId="25" borderId="0" xfId="7" applyFont="1" applyFill="1"/>
    <xf numFmtId="0" fontId="14" fillId="4" borderId="15" xfId="7" applyFont="1" applyFill="1" applyBorder="1"/>
    <xf numFmtId="166" fontId="14" fillId="4" borderId="14" xfId="5" applyNumberFormat="1" applyFont="1" applyFill="1" applyBorder="1"/>
    <xf numFmtId="166" fontId="14" fillId="4" borderId="0" xfId="5" applyNumberFormat="1" applyFont="1" applyFill="1"/>
    <xf numFmtId="166" fontId="14" fillId="4" borderId="15" xfId="5" applyNumberFormat="1" applyFont="1" applyFill="1" applyBorder="1"/>
    <xf numFmtId="0" fontId="27" fillId="3" borderId="14" xfId="9" applyFont="1" applyFill="1" applyBorder="1"/>
    <xf numFmtId="0" fontId="27" fillId="3" borderId="0" xfId="9" applyFont="1" applyFill="1"/>
    <xf numFmtId="0" fontId="27" fillId="3" borderId="0" xfId="8" quotePrefix="1" applyFont="1" applyFill="1" applyAlignment="1">
      <alignment horizontal="right"/>
    </xf>
    <xf numFmtId="0" fontId="27" fillId="3" borderId="15" xfId="8" quotePrefix="1" applyFont="1" applyFill="1" applyBorder="1" applyAlignment="1">
      <alignment horizontal="right"/>
    </xf>
    <xf numFmtId="0" fontId="20" fillId="17" borderId="0" xfId="0" applyFont="1" applyFill="1" applyAlignment="1">
      <alignment horizontal="left" vertical="top"/>
    </xf>
    <xf numFmtId="0" fontId="20" fillId="6" borderId="0" xfId="0" applyFont="1" applyFill="1" applyAlignment="1">
      <alignment horizontal="left" indent="1"/>
    </xf>
    <xf numFmtId="167" fontId="20" fillId="17" borderId="0" xfId="4" applyNumberFormat="1" applyFont="1" applyFill="1"/>
    <xf numFmtId="9" fontId="20" fillId="17" borderId="0" xfId="4" applyNumberFormat="1" applyFont="1" applyFill="1"/>
    <xf numFmtId="9" fontId="20" fillId="17" borderId="15" xfId="4" applyNumberFormat="1" applyFont="1" applyFill="1" applyBorder="1"/>
    <xf numFmtId="0" fontId="20" fillId="0" borderId="0" xfId="0" applyFont="1" applyAlignment="1">
      <alignment horizontal="left" vertical="top"/>
    </xf>
    <xf numFmtId="0" fontId="20" fillId="0" borderId="0" xfId="0" applyFont="1" applyAlignment="1">
      <alignment horizontal="left" indent="1"/>
    </xf>
    <xf numFmtId="0" fontId="44" fillId="14" borderId="0" xfId="5" applyNumberFormat="1" applyFont="1" applyFill="1" applyAlignment="1" applyProtection="1">
      <alignment horizontal="left"/>
    </xf>
    <xf numFmtId="0" fontId="44" fillId="14" borderId="0" xfId="5" applyNumberFormat="1" applyFont="1" applyFill="1" applyAlignment="1" applyProtection="1">
      <alignment horizontal="left" wrapText="1"/>
    </xf>
    <xf numFmtId="0" fontId="51" fillId="3" borderId="0" xfId="0" applyFont="1" applyFill="1"/>
    <xf numFmtId="0" fontId="26" fillId="3" borderId="87" xfId="7" applyFont="1" applyFill="1" applyBorder="1" applyAlignment="1">
      <alignment wrapText="1"/>
    </xf>
    <xf numFmtId="0" fontId="26" fillId="3" borderId="0" xfId="7" applyFont="1" applyFill="1" applyAlignment="1">
      <alignment wrapText="1"/>
    </xf>
    <xf numFmtId="0" fontId="26" fillId="3" borderId="15" xfId="7" applyFont="1" applyFill="1" applyBorder="1" applyAlignment="1">
      <alignment wrapText="1"/>
    </xf>
    <xf numFmtId="0" fontId="24" fillId="17" borderId="0" xfId="7" applyFont="1" applyFill="1"/>
    <xf numFmtId="0" fontId="24" fillId="27" borderId="0" xfId="7" applyFont="1" applyFill="1"/>
    <xf numFmtId="0" fontId="45" fillId="28" borderId="0" xfId="7" applyFont="1" applyFill="1"/>
    <xf numFmtId="0" fontId="45" fillId="27" borderId="0" xfId="7" applyFont="1" applyFill="1"/>
    <xf numFmtId="0" fontId="24" fillId="27" borderId="0" xfId="7" applyFont="1" applyFill="1" applyAlignment="1">
      <alignment horizontal="center"/>
    </xf>
    <xf numFmtId="0" fontId="24" fillId="27" borderId="15" xfId="7" applyFont="1" applyFill="1" applyBorder="1"/>
    <xf numFmtId="166" fontId="24" fillId="17" borderId="0" xfId="5" applyNumberFormat="1" applyFont="1" applyFill="1" applyBorder="1" applyAlignment="1"/>
    <xf numFmtId="166" fontId="24" fillId="17" borderId="15" xfId="5" applyNumberFormat="1" applyFont="1" applyFill="1" applyBorder="1" applyAlignment="1"/>
    <xf numFmtId="166" fontId="21" fillId="27" borderId="0" xfId="5" applyNumberFormat="1" applyFont="1" applyFill="1" applyBorder="1"/>
    <xf numFmtId="166" fontId="21" fillId="27" borderId="15" xfId="5" applyNumberFormat="1" applyFont="1" applyFill="1" applyBorder="1"/>
    <xf numFmtId="0" fontId="20" fillId="0" borderId="0" xfId="7" applyFont="1"/>
    <xf numFmtId="0" fontId="45" fillId="24" borderId="0" xfId="7" applyFont="1" applyFill="1"/>
    <xf numFmtId="0" fontId="20" fillId="0" borderId="0" xfId="7" applyFont="1" applyAlignment="1">
      <alignment horizontal="center"/>
    </xf>
    <xf numFmtId="0" fontId="20" fillId="17" borderId="0" xfId="7" applyFont="1" applyFill="1"/>
    <xf numFmtId="0" fontId="20" fillId="0" borderId="15" xfId="7" applyFont="1" applyBorder="1"/>
    <xf numFmtId="166" fontId="20" fillId="17" borderId="0" xfId="5" applyNumberFormat="1" applyFont="1" applyFill="1" applyBorder="1" applyAlignment="1"/>
    <xf numFmtId="166" fontId="20" fillId="17" borderId="15" xfId="5" applyNumberFormat="1" applyFont="1" applyFill="1" applyBorder="1" applyAlignment="1"/>
    <xf numFmtId="166" fontId="14" fillId="0" borderId="0" xfId="5" applyNumberFormat="1" applyFont="1" applyFill="1" applyBorder="1"/>
    <xf numFmtId="0" fontId="20" fillId="26" borderId="0" xfId="7" applyFont="1" applyFill="1"/>
    <xf numFmtId="0" fontId="45" fillId="29" borderId="0" xfId="7" applyFont="1" applyFill="1"/>
    <xf numFmtId="0" fontId="45" fillId="26" borderId="0" xfId="7" applyFont="1" applyFill="1"/>
    <xf numFmtId="0" fontId="20" fillId="26" borderId="0" xfId="7" applyFont="1" applyFill="1" applyAlignment="1">
      <alignment horizontal="center"/>
    </xf>
    <xf numFmtId="0" fontId="20" fillId="26" borderId="15" xfId="7" applyFont="1" applyFill="1" applyBorder="1"/>
    <xf numFmtId="166" fontId="14" fillId="26" borderId="0" xfId="5" applyNumberFormat="1" applyFont="1" applyFill="1" applyBorder="1"/>
    <xf numFmtId="166" fontId="14" fillId="26" borderId="15" xfId="5" applyNumberFormat="1" applyFont="1" applyFill="1" applyBorder="1"/>
    <xf numFmtId="1" fontId="21" fillId="17" borderId="78" xfId="0" applyNumberFormat="1" applyFont="1" applyFill="1" applyBorder="1" applyAlignment="1">
      <alignment horizontal="center"/>
    </xf>
    <xf numFmtId="1" fontId="14" fillId="17" borderId="15" xfId="0" applyNumberFormat="1" applyFont="1" applyFill="1" applyBorder="1" applyAlignment="1">
      <alignment horizontal="center"/>
    </xf>
    <xf numFmtId="166" fontId="11" fillId="4" borderId="52" xfId="6" applyNumberFormat="1" applyFont="1" applyFill="1" applyBorder="1" applyAlignment="1" applyProtection="1">
      <alignment horizontal="right" vertical="center" wrapText="1"/>
      <protection locked="0"/>
    </xf>
    <xf numFmtId="0" fontId="0" fillId="0" borderId="0" xfId="0" applyAlignment="1">
      <alignment vertical="top"/>
    </xf>
    <xf numFmtId="0" fontId="9" fillId="7" borderId="52" xfId="0" applyNumberFormat="1" applyFont="1" applyFill="1" applyBorder="1" applyAlignment="1" applyProtection="1">
      <alignment horizontal="center" vertical="center" wrapText="1"/>
    </xf>
    <xf numFmtId="0" fontId="11" fillId="4" borderId="52" xfId="1" applyNumberFormat="1" applyFont="1" applyFill="1" applyBorder="1" applyAlignment="1" applyProtection="1">
      <alignment horizontal="center" vertical="top" wrapText="1"/>
      <protection locked="0"/>
    </xf>
    <xf numFmtId="49" fontId="7" fillId="0" borderId="0" xfId="0" applyNumberFormat="1" applyFont="1" applyAlignment="1">
      <alignment horizontal="left" vertical="top"/>
    </xf>
    <xf numFmtId="49" fontId="8" fillId="0" borderId="0" xfId="0" quotePrefix="1" applyNumberFormat="1" applyFont="1" applyAlignment="1">
      <alignment vertical="top"/>
    </xf>
    <xf numFmtId="15" fontId="8" fillId="0" borderId="0" xfId="0" quotePrefix="1" applyNumberFormat="1" applyFont="1" applyAlignment="1">
      <alignment vertical="top"/>
    </xf>
    <xf numFmtId="0" fontId="11" fillId="0" borderId="0" xfId="0" applyFont="1" applyAlignment="1">
      <alignment horizontal="left" vertical="top"/>
    </xf>
    <xf numFmtId="0" fontId="8" fillId="0" borderId="0" xfId="0" applyFont="1" applyAlignment="1">
      <alignment vertical="top"/>
    </xf>
    <xf numFmtId="0" fontId="11" fillId="0" borderId="0" xfId="0" applyFont="1" applyAlignment="1">
      <alignment horizontal="center" vertical="top"/>
    </xf>
    <xf numFmtId="0" fontId="52" fillId="0" borderId="0" xfId="0" applyFont="1" applyAlignment="1">
      <alignment vertical="top" wrapText="1"/>
    </xf>
    <xf numFmtId="0" fontId="9" fillId="0" borderId="0" xfId="0" applyFont="1" applyBorder="1" applyAlignment="1" applyProtection="1">
      <alignment horizontal="center"/>
    </xf>
    <xf numFmtId="166" fontId="11" fillId="5" borderId="54" xfId="6" applyNumberFormat="1" applyFont="1" applyFill="1" applyBorder="1" applyAlignment="1" applyProtection="1">
      <alignment horizontal="right" vertical="top" wrapText="1"/>
    </xf>
    <xf numFmtId="0" fontId="9" fillId="0" borderId="0" xfId="0" applyFont="1" applyAlignment="1">
      <alignment horizontal="center" vertical="top"/>
    </xf>
    <xf numFmtId="0" fontId="8" fillId="0" borderId="0" xfId="0" applyNumberFormat="1" applyFont="1" applyFill="1" applyBorder="1" applyAlignment="1" applyProtection="1">
      <alignment vertical="center" wrapText="1"/>
    </xf>
    <xf numFmtId="166" fontId="11" fillId="5" borderId="52" xfId="6" applyNumberFormat="1" applyFont="1" applyFill="1" applyBorder="1" applyAlignment="1" applyProtection="1">
      <alignment horizontal="right" vertical="center"/>
    </xf>
    <xf numFmtId="166" fontId="11" fillId="5" borderId="57" xfId="6" applyNumberFormat="1" applyFont="1" applyFill="1" applyBorder="1" applyAlignment="1" applyProtection="1">
      <alignment horizontal="right" vertical="center"/>
    </xf>
    <xf numFmtId="0" fontId="53" fillId="0" borderId="0" xfId="0" applyFont="1"/>
    <xf numFmtId="0" fontId="26" fillId="3" borderId="0" xfId="0" applyFont="1" applyFill="1"/>
    <xf numFmtId="0" fontId="16" fillId="0" borderId="0" xfId="0" applyFont="1"/>
    <xf numFmtId="0" fontId="22" fillId="0" borderId="0" xfId="0" applyFont="1"/>
    <xf numFmtId="49" fontId="20" fillId="0" borderId="0" xfId="0" applyNumberFormat="1" applyFont="1"/>
    <xf numFmtId="0" fontId="20" fillId="0" borderId="0" xfId="0" applyFont="1" applyAlignment="1">
      <alignment horizontal="left"/>
    </xf>
    <xf numFmtId="0" fontId="35" fillId="15" borderId="0" xfId="0" applyFont="1" applyFill="1" applyAlignment="1">
      <alignment horizontal="center" vertical="top"/>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6" fillId="3" borderId="0" xfId="0" applyNumberFormat="1" applyFont="1" applyFill="1" applyBorder="1" applyAlignment="1" applyProtection="1">
      <alignment horizontal="center" vertical="top" wrapText="1"/>
    </xf>
    <xf numFmtId="0" fontId="7" fillId="0" borderId="0"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0" xfId="0" applyNumberFormat="1" applyFont="1" applyFill="1" applyBorder="1" applyAlignment="1" applyProtection="1">
      <alignment horizontal="center" vertical="top"/>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37" fillId="0" borderId="4" xfId="0" applyNumberFormat="1" applyFont="1" applyFill="1" applyBorder="1" applyAlignment="1" applyProtection="1">
      <alignment vertical="top"/>
      <protection locked="0"/>
    </xf>
    <xf numFmtId="0" fontId="0" fillId="0" borderId="0" xfId="0" applyAlignment="1" applyProtection="1">
      <alignment vertical="top"/>
      <protection locked="0"/>
    </xf>
    <xf numFmtId="0" fontId="0" fillId="0" borderId="3" xfId="0" applyBorder="1" applyAlignment="1" applyProtection="1">
      <alignment vertical="top"/>
      <protection locked="0"/>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4"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5"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0" xfId="0" applyFont="1" applyBorder="1" applyAlignment="1">
      <alignment horizontal="left" vertical="center"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9" fillId="2" borderId="56"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2" xfId="1" applyNumberFormat="1" applyFont="1" applyFill="1" applyBorder="1" applyAlignment="1" applyProtection="1">
      <alignment horizontal="left" vertical="top" wrapText="1"/>
      <protection locked="0"/>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0" xfId="0" applyNumberFormat="1" applyFont="1" applyFill="1" applyBorder="1" applyAlignment="1" applyProtection="1">
      <alignment horizontal="left" vertical="top" wrapText="1"/>
    </xf>
    <xf numFmtId="0" fontId="8" fillId="0" borderId="73" xfId="0" applyFont="1" applyBorder="1" applyAlignment="1">
      <alignment horizontal="left" vertical="top" wrapText="1" indent="1"/>
    </xf>
    <xf numFmtId="0" fontId="8" fillId="0" borderId="50" xfId="0" applyFont="1" applyBorder="1" applyAlignment="1">
      <alignment horizontal="left" vertical="top" wrapText="1" indent="1"/>
    </xf>
    <xf numFmtId="0" fontId="8" fillId="0" borderId="51" xfId="0" applyFont="1" applyBorder="1" applyAlignment="1">
      <alignment horizontal="left" vertical="top" wrapText="1" inden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166" fontId="11" fillId="4" borderId="52" xfId="6" applyNumberFormat="1" applyFont="1" applyFill="1" applyBorder="1" applyAlignment="1" applyProtection="1">
      <alignment horizontal="right" vertical="center" wrapText="1"/>
      <protection locked="0"/>
    </xf>
    <xf numFmtId="0" fontId="8" fillId="0" borderId="73"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13" fillId="0" borderId="73"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right" vertical="center" wrapText="1" indent="1"/>
    </xf>
    <xf numFmtId="0" fontId="7" fillId="0" borderId="52" xfId="0" applyFont="1" applyBorder="1" applyAlignment="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8" fillId="0" borderId="52" xfId="0" applyNumberFormat="1" applyFont="1" applyFill="1" applyBorder="1" applyAlignment="1" applyProtection="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9" fillId="7" borderId="57"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6" fontId="11" fillId="5" borderId="53" xfId="6" applyNumberFormat="1" applyFont="1" applyFill="1" applyBorder="1" applyAlignment="1" applyProtection="1">
      <alignment horizontal="center" vertical="center"/>
    </xf>
    <xf numFmtId="166" fontId="11" fillId="5" borderId="54" xfId="6"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right" vertical="top" wrapText="1" indent="1"/>
    </xf>
    <xf numFmtId="0" fontId="8" fillId="0" borderId="52" xfId="0" applyFont="1" applyBorder="1" applyAlignment="1">
      <alignment horizontal="right" vertical="top" wrapText="1" indent="1"/>
    </xf>
    <xf numFmtId="0" fontId="8" fillId="0" borderId="56" xfId="0" applyNumberFormat="1" applyFont="1" applyFill="1" applyBorder="1" applyAlignment="1" applyProtection="1">
      <alignment horizontal="center" vertical="center" wrapText="1"/>
    </xf>
    <xf numFmtId="0" fontId="8" fillId="0" borderId="67" xfId="0" applyNumberFormat="1" applyFont="1" applyFill="1" applyBorder="1" applyAlignment="1" applyProtection="1">
      <alignment horizontal="right" vertical="top" wrapText="1" indent="1"/>
    </xf>
    <xf numFmtId="0" fontId="8" fillId="0" borderId="70" xfId="0" applyNumberFormat="1" applyFont="1" applyFill="1" applyBorder="1" applyAlignment="1" applyProtection="1">
      <alignment horizontal="right" vertical="top" wrapText="1" indent="1"/>
    </xf>
    <xf numFmtId="0" fontId="8" fillId="0" borderId="54" xfId="0" applyNumberFormat="1" applyFont="1" applyFill="1" applyBorder="1" applyAlignment="1" applyProtection="1">
      <alignment horizontal="right" vertical="top" wrapText="1" indent="1"/>
    </xf>
    <xf numFmtId="0" fontId="6" fillId="3" borderId="0" xfId="0" applyNumberFormat="1" applyFont="1" applyFill="1" applyBorder="1" applyAlignment="1" applyProtection="1">
      <alignment horizontal="left" wrapTex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1"/>
    </xf>
    <xf numFmtId="0" fontId="7" fillId="0" borderId="70"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7" xfId="0" applyFont="1" applyBorder="1" applyAlignment="1">
      <alignment horizontal="left" vertical="center" wrapText="1" indent="1"/>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9" fillId="7" borderId="59" xfId="0" applyNumberFormat="1" applyFont="1" applyFill="1" applyBorder="1" applyAlignment="1" applyProtection="1">
      <alignment horizontal="center" vertical="center" wrapText="1"/>
    </xf>
    <xf numFmtId="0" fontId="9" fillId="7" borderId="64" xfId="0" applyNumberFormat="1" applyFont="1" applyFill="1" applyBorder="1" applyAlignment="1" applyProtection="1">
      <alignment horizontal="center" vertical="center" wrapText="1"/>
    </xf>
    <xf numFmtId="166" fontId="11" fillId="5" borderId="59" xfId="6" applyNumberFormat="1" applyFont="1" applyFill="1" applyBorder="1" applyAlignment="1" applyProtection="1">
      <alignment horizontal="center" vertical="center"/>
    </xf>
    <xf numFmtId="166" fontId="11" fillId="5" borderId="64" xfId="6" applyNumberFormat="1" applyFont="1" applyFill="1" applyBorder="1" applyAlignment="1" applyProtection="1">
      <alignment horizontal="center" vertical="center"/>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88" xfId="0" applyNumberFormat="1" applyFont="1" applyFill="1" applyBorder="1" applyAlignment="1" applyProtection="1">
      <alignment horizontal="left" vertical="center" wrapText="1"/>
    </xf>
    <xf numFmtId="0" fontId="8" fillId="0" borderId="89"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89" xfId="1" applyNumberFormat="1" applyFont="1" applyFill="1" applyBorder="1" applyAlignment="1" applyProtection="1">
      <alignment horizontal="left" vertical="top" wrapText="1"/>
      <protection locked="0"/>
    </xf>
    <xf numFmtId="0" fontId="11" fillId="4" borderId="90" xfId="1"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73"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3"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7" fillId="0" borderId="52" xfId="0" applyFont="1" applyBorder="1" applyAlignment="1">
      <alignment horizontal="left" vertical="top" wrapText="1" indent="1"/>
    </xf>
    <xf numFmtId="0" fontId="6" fillId="3" borderId="0" xfId="0" applyNumberFormat="1" applyFont="1" applyFill="1" applyBorder="1" applyAlignment="1" applyProtection="1">
      <alignment horizontal="left" vertical="top"/>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73"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0" fillId="0" borderId="63" xfId="0" applyBorder="1" applyAlignment="1">
      <alignment horizontal="left" vertical="center"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2" xfId="0" applyNumberFormat="1" applyFont="1" applyFill="1" applyBorder="1" applyAlignment="1" applyProtection="1">
      <alignment horizontal="center" vertical="top" wrapText="1"/>
    </xf>
    <xf numFmtId="0" fontId="13" fillId="7" borderId="56"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8" fillId="0" borderId="7"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top" wrapText="1"/>
    </xf>
    <xf numFmtId="0" fontId="8" fillId="0" borderId="8" xfId="0" applyNumberFormat="1" applyFont="1" applyFill="1" applyBorder="1" applyAlignment="1" applyProtection="1">
      <alignment horizontal="left" vertical="top" wrapText="1"/>
    </xf>
    <xf numFmtId="0" fontId="11" fillId="5" borderId="53"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20" fillId="2" borderId="0" xfId="3" quotePrefix="1" applyFont="1" applyFill="1" applyAlignment="1">
      <alignment horizontal="left"/>
    </xf>
    <xf numFmtId="0" fontId="21" fillId="2" borderId="10" xfId="0" applyFont="1" applyFill="1" applyBorder="1" applyAlignment="1">
      <alignment horizontal="center"/>
    </xf>
    <xf numFmtId="0" fontId="24" fillId="0" borderId="16" xfId="0" applyFont="1" applyBorder="1" applyAlignment="1">
      <alignment horizontal="center"/>
    </xf>
    <xf numFmtId="0" fontId="24" fillId="2" borderId="16" xfId="0" applyFont="1" applyFill="1" applyBorder="1" applyAlignment="1">
      <alignment horizontal="center"/>
    </xf>
    <xf numFmtId="0" fontId="20" fillId="2" borderId="0" xfId="3" applyFont="1" applyFill="1" applyAlignment="1">
      <alignment horizontal="left" wrapText="1" indent="1"/>
    </xf>
    <xf numFmtId="168" fontId="24" fillId="2" borderId="0" xfId="6" applyNumberFormat="1" applyFont="1" applyFill="1" applyBorder="1" applyAlignment="1">
      <alignment horizontal="center"/>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168" fontId="24" fillId="2" borderId="9" xfId="0" applyNumberFormat="1" applyFont="1" applyFill="1" applyBorder="1" applyAlignment="1">
      <alignment horizontal="center"/>
    </xf>
    <xf numFmtId="0" fontId="20" fillId="8" borderId="0" xfId="0" applyFont="1" applyFill="1" applyAlignment="1">
      <alignment horizontal="left" indent="1"/>
    </xf>
    <xf numFmtId="0" fontId="20" fillId="2" borderId="0" xfId="0" applyFont="1" applyFill="1" applyAlignment="1">
      <alignment horizontal="left"/>
    </xf>
    <xf numFmtId="0" fontId="24" fillId="26" borderId="85" xfId="9" applyFont="1" applyFill="1" applyBorder="1" applyAlignment="1">
      <alignment horizontal="center"/>
    </xf>
    <xf numFmtId="0" fontId="24" fillId="26" borderId="86" xfId="9" applyFont="1" applyFill="1" applyBorder="1" applyAlignment="1">
      <alignment horizontal="center"/>
    </xf>
    <xf numFmtId="0" fontId="24" fillId="27" borderId="85" xfId="9" applyFont="1" applyFill="1" applyBorder="1" applyAlignment="1">
      <alignment horizontal="center"/>
    </xf>
    <xf numFmtId="0" fontId="24" fillId="27" borderId="86" xfId="9" applyFont="1" applyFill="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63500</xdr:colOff>
      <xdr:row>0</xdr:row>
      <xdr:rowOff>0</xdr:rowOff>
    </xdr:from>
    <xdr:to>
      <xdr:col>11</xdr:col>
      <xdr:colOff>702310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7816850" y="0"/>
          <a:ext cx="1603375"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47"/>
  <sheetViews>
    <sheetView workbookViewId="0">
      <selection activeCell="B4" sqref="B4"/>
    </sheetView>
  </sheetViews>
  <sheetFormatPr defaultColWidth="9.28515625" defaultRowHeight="14.25" x14ac:dyDescent="0.25"/>
  <cols>
    <col min="1" max="1" width="24.42578125" style="196" bestFit="1" customWidth="1"/>
    <col min="2" max="2" width="21.85546875" style="167" customWidth="1"/>
    <col min="3" max="3" width="22.28515625" style="167" bestFit="1" customWidth="1"/>
    <col min="4" max="4" width="12.42578125" style="167" bestFit="1" customWidth="1"/>
    <col min="5" max="5" width="9.28515625" style="167"/>
    <col min="6" max="6" width="9.28515625" style="167" customWidth="1"/>
    <col min="7" max="16384" width="9.28515625" style="167"/>
  </cols>
  <sheetData>
    <row r="1" spans="1:6" s="250" customFormat="1" x14ac:dyDescent="0.25">
      <c r="A1" s="250" t="s">
        <v>175</v>
      </c>
      <c r="B1" s="250" t="s">
        <v>169</v>
      </c>
      <c r="C1" s="250" t="s">
        <v>176</v>
      </c>
      <c r="F1" s="250" t="s">
        <v>347</v>
      </c>
    </row>
    <row r="2" spans="1:6" x14ac:dyDescent="0.25">
      <c r="A2" s="196" t="s">
        <v>177</v>
      </c>
      <c r="B2" s="156" t="s">
        <v>946</v>
      </c>
      <c r="C2" s="156" t="str">
        <f>B2</f>
        <v>NQ-2025-008</v>
      </c>
      <c r="D2" s="156"/>
      <c r="F2" s="167" t="s">
        <v>459</v>
      </c>
    </row>
    <row r="3" spans="1:6" x14ac:dyDescent="0.25">
      <c r="A3" s="196" t="s">
        <v>178</v>
      </c>
      <c r="B3" s="156" t="s">
        <v>963</v>
      </c>
      <c r="C3" s="156" t="s">
        <v>915</v>
      </c>
      <c r="D3" s="156"/>
      <c r="F3" s="167" t="s">
        <v>596</v>
      </c>
    </row>
    <row r="4" spans="1:6" x14ac:dyDescent="0.25">
      <c r="A4" s="196" t="s">
        <v>377</v>
      </c>
      <c r="B4" s="156" t="s">
        <v>916</v>
      </c>
      <c r="C4" s="156" t="s">
        <v>588</v>
      </c>
      <c r="D4" s="156"/>
      <c r="F4" s="167" t="s">
        <v>597</v>
      </c>
    </row>
    <row r="5" spans="1:6" ht="28.5" x14ac:dyDescent="0.25">
      <c r="A5" s="246" t="s">
        <v>646</v>
      </c>
      <c r="B5" s="156" t="s">
        <v>756</v>
      </c>
      <c r="C5" s="156" t="s">
        <v>757</v>
      </c>
      <c r="D5" s="199" t="s">
        <v>749</v>
      </c>
    </row>
    <row r="6" spans="1:6" x14ac:dyDescent="0.25">
      <c r="A6" s="197" t="s">
        <v>606</v>
      </c>
      <c r="B6" s="199">
        <v>2022</v>
      </c>
      <c r="C6" s="199">
        <f>B6</f>
        <v>2022</v>
      </c>
      <c r="D6" s="156"/>
      <c r="F6" s="249" t="s">
        <v>662</v>
      </c>
    </row>
    <row r="7" spans="1:6" x14ac:dyDescent="0.25">
      <c r="A7" s="197" t="s">
        <v>607</v>
      </c>
      <c r="B7" s="247" t="s">
        <v>882</v>
      </c>
      <c r="C7" s="326" t="s">
        <v>883</v>
      </c>
      <c r="D7" s="156"/>
      <c r="F7" s="167" t="s">
        <v>663</v>
      </c>
    </row>
    <row r="8" spans="1:6" x14ac:dyDescent="0.25">
      <c r="A8" s="197" t="s">
        <v>608</v>
      </c>
      <c r="B8" s="630" t="s">
        <v>917</v>
      </c>
      <c r="C8" s="630" t="str">
        <f>B8</f>
        <v>2025</v>
      </c>
      <c r="D8" s="156"/>
      <c r="F8" s="167" t="s">
        <v>739</v>
      </c>
    </row>
    <row r="9" spans="1:6" x14ac:dyDescent="0.25">
      <c r="A9" s="196" t="s">
        <v>598</v>
      </c>
      <c r="B9" s="156" t="s">
        <v>913</v>
      </c>
      <c r="C9" s="156" t="s">
        <v>884</v>
      </c>
      <c r="D9" s="156"/>
      <c r="F9" s="198" t="s">
        <v>664</v>
      </c>
    </row>
    <row r="10" spans="1:6" x14ac:dyDescent="0.25">
      <c r="A10" s="196" t="s">
        <v>599</v>
      </c>
      <c r="B10" s="156" t="s">
        <v>914</v>
      </c>
      <c r="C10" s="156" t="s">
        <v>885</v>
      </c>
      <c r="D10" s="156"/>
    </row>
    <row r="11" spans="1:6" x14ac:dyDescent="0.25">
      <c r="A11" s="196" t="s">
        <v>332</v>
      </c>
      <c r="B11" s="631" t="s">
        <v>911</v>
      </c>
      <c r="C11" s="632" t="s">
        <v>912</v>
      </c>
      <c r="D11" s="156"/>
    </row>
    <row r="12" spans="1:6" x14ac:dyDescent="0.25">
      <c r="B12" s="156"/>
      <c r="C12" s="156"/>
      <c r="D12" s="156"/>
    </row>
    <row r="13" spans="1:6" x14ac:dyDescent="0.25">
      <c r="A13" s="196" t="s">
        <v>648</v>
      </c>
      <c r="B13" s="156" t="s">
        <v>897</v>
      </c>
      <c r="C13" s="156" t="s">
        <v>898</v>
      </c>
      <c r="D13" s="156" t="s">
        <v>899</v>
      </c>
    </row>
    <row r="14" spans="1:6" x14ac:dyDescent="0.25">
      <c r="A14" s="196" t="s">
        <v>649</v>
      </c>
      <c r="B14" s="156" t="s">
        <v>900</v>
      </c>
      <c r="C14" s="156" t="s">
        <v>901</v>
      </c>
      <c r="D14" s="156" t="s">
        <v>902</v>
      </c>
    </row>
    <row r="15" spans="1:6" x14ac:dyDescent="0.25">
      <c r="B15" s="156"/>
      <c r="C15" s="156"/>
      <c r="D15" s="156"/>
    </row>
    <row r="16" spans="1:6" x14ac:dyDescent="0.25">
      <c r="A16" s="196" t="s">
        <v>334</v>
      </c>
      <c r="B16" s="633" t="s">
        <v>886</v>
      </c>
      <c r="C16" s="633" t="s">
        <v>891</v>
      </c>
      <c r="D16" s="156"/>
    </row>
    <row r="17" spans="1:4" x14ac:dyDescent="0.25">
      <c r="A17" s="248" t="s">
        <v>647</v>
      </c>
      <c r="B17" s="634" t="s">
        <v>887</v>
      </c>
      <c r="C17" s="635" t="s">
        <v>888</v>
      </c>
      <c r="D17" s="156"/>
    </row>
    <row r="18" spans="1:4" x14ac:dyDescent="0.25">
      <c r="B18" s="156"/>
      <c r="C18" s="156"/>
      <c r="D18" s="156"/>
    </row>
    <row r="19" spans="1:4" x14ac:dyDescent="0.25">
      <c r="A19" s="196" t="s">
        <v>342</v>
      </c>
      <c r="B19" s="314" t="s">
        <v>604</v>
      </c>
      <c r="C19" s="314" t="s">
        <v>604</v>
      </c>
      <c r="D19" s="156"/>
    </row>
    <row r="20" spans="1:4" x14ac:dyDescent="0.25">
      <c r="A20" s="196" t="s">
        <v>343</v>
      </c>
      <c r="B20" s="314" t="s">
        <v>918</v>
      </c>
      <c r="C20" s="314" t="s">
        <v>919</v>
      </c>
      <c r="D20" s="156"/>
    </row>
    <row r="21" spans="1:4" ht="57" x14ac:dyDescent="0.25">
      <c r="A21" s="196" t="s">
        <v>344</v>
      </c>
      <c r="B21" s="636" t="s">
        <v>920</v>
      </c>
      <c r="C21" s="636" t="str">
        <f>B21</f>
        <v>4823.61.00.00,  4823.69.00.90,  4823.70.00.00,  4823.90.00.90</v>
      </c>
      <c r="D21" s="156"/>
    </row>
    <row r="22" spans="1:4" x14ac:dyDescent="0.25">
      <c r="B22" s="156"/>
      <c r="C22" s="156"/>
      <c r="D22" s="156"/>
    </row>
    <row r="23" spans="1:4" x14ac:dyDescent="0.25">
      <c r="A23" s="196" t="s">
        <v>650</v>
      </c>
      <c r="B23" s="156" t="s">
        <v>892</v>
      </c>
      <c r="C23" s="156" t="s">
        <v>894</v>
      </c>
      <c r="D23" s="156"/>
    </row>
    <row r="24" spans="1:4" x14ac:dyDescent="0.25">
      <c r="A24" s="196" t="s">
        <v>651</v>
      </c>
      <c r="B24" s="156" t="s">
        <v>893</v>
      </c>
      <c r="C24" s="156" t="s">
        <v>895</v>
      </c>
      <c r="D24" s="156"/>
    </row>
    <row r="25" spans="1:4" x14ac:dyDescent="0.25">
      <c r="B25" s="156"/>
      <c r="C25" s="156"/>
      <c r="D25" s="156"/>
    </row>
    <row r="26" spans="1:4" x14ac:dyDescent="0.25">
      <c r="A26" s="196" t="s">
        <v>200</v>
      </c>
      <c r="B26" s="156" t="s">
        <v>652</v>
      </c>
      <c r="C26" s="156" t="s">
        <v>653</v>
      </c>
      <c r="D26" s="156"/>
    </row>
    <row r="27" spans="1:4" x14ac:dyDescent="0.25">
      <c r="A27" s="196" t="s">
        <v>603</v>
      </c>
      <c r="B27" s="156" t="s">
        <v>910</v>
      </c>
      <c r="C27" s="156" t="s">
        <v>906</v>
      </c>
      <c r="D27" s="156"/>
    </row>
    <row r="28" spans="1:4" x14ac:dyDescent="0.25">
      <c r="A28" s="196" t="s">
        <v>903</v>
      </c>
      <c r="B28" s="156" t="s">
        <v>904</v>
      </c>
      <c r="C28" s="156" t="s">
        <v>905</v>
      </c>
      <c r="D28" s="156"/>
    </row>
    <row r="29" spans="1:4" x14ac:dyDescent="0.25">
      <c r="B29" s="156"/>
      <c r="C29" s="156"/>
      <c r="D29" s="156"/>
    </row>
    <row r="30" spans="1:4" x14ac:dyDescent="0.25">
      <c r="A30" s="197" t="s">
        <v>609</v>
      </c>
      <c r="B30" s="156" t="s">
        <v>889</v>
      </c>
      <c r="C30" s="156" t="s">
        <v>890</v>
      </c>
      <c r="D30" s="156"/>
    </row>
    <row r="31" spans="1:4" x14ac:dyDescent="0.25">
      <c r="A31" s="196" t="s">
        <v>654</v>
      </c>
      <c r="B31" s="156" t="s">
        <v>921</v>
      </c>
      <c r="C31" s="156" t="s">
        <v>922</v>
      </c>
      <c r="D31" s="156"/>
    </row>
    <row r="32" spans="1:4" ht="15" customHeight="1" x14ac:dyDescent="0.25">
      <c r="A32" s="196" t="s">
        <v>655</v>
      </c>
      <c r="B32" s="156" t="s">
        <v>923</v>
      </c>
      <c r="C32" s="156" t="s">
        <v>924</v>
      </c>
      <c r="D32" s="156"/>
    </row>
    <row r="33" spans="1:4" ht="15" customHeight="1" x14ac:dyDescent="0.25">
      <c r="A33" s="196" t="s">
        <v>656</v>
      </c>
      <c r="B33" s="156" t="s">
        <v>925</v>
      </c>
      <c r="C33" s="156" t="s">
        <v>926</v>
      </c>
      <c r="D33" s="156"/>
    </row>
    <row r="34" spans="1:4" ht="15" customHeight="1" x14ac:dyDescent="0.25">
      <c r="A34" s="196" t="s">
        <v>657</v>
      </c>
      <c r="B34" s="156" t="s">
        <v>927</v>
      </c>
      <c r="C34" s="156" t="s">
        <v>928</v>
      </c>
      <c r="D34" s="156"/>
    </row>
    <row r="35" spans="1:4" ht="15" customHeight="1" x14ac:dyDescent="0.25">
      <c r="A35" s="196" t="s">
        <v>658</v>
      </c>
      <c r="B35" s="156" t="s">
        <v>929</v>
      </c>
      <c r="C35" s="156" t="s">
        <v>930</v>
      </c>
      <c r="D35" s="156"/>
    </row>
    <row r="36" spans="1:4" ht="15" customHeight="1" x14ac:dyDescent="0.25">
      <c r="A36" s="196" t="s">
        <v>659</v>
      </c>
      <c r="B36" s="156" t="s">
        <v>931</v>
      </c>
      <c r="C36" s="156" t="s">
        <v>932</v>
      </c>
      <c r="D36" s="156"/>
    </row>
    <row r="37" spans="1:4" ht="15" customHeight="1" x14ac:dyDescent="0.25">
      <c r="A37" s="196" t="s">
        <v>660</v>
      </c>
      <c r="B37" s="156" t="s">
        <v>933</v>
      </c>
      <c r="C37" s="156" t="s">
        <v>934</v>
      </c>
      <c r="D37" s="156"/>
    </row>
    <row r="38" spans="1:4" ht="15" customHeight="1" x14ac:dyDescent="0.25">
      <c r="A38" s="196" t="s">
        <v>661</v>
      </c>
      <c r="B38" s="156" t="s">
        <v>935</v>
      </c>
      <c r="C38" s="156" t="s">
        <v>936</v>
      </c>
      <c r="D38" s="156"/>
    </row>
    <row r="39" spans="1:4" ht="15" customHeight="1" x14ac:dyDescent="0.25"/>
    <row r="40" spans="1:4" ht="15" customHeight="1" x14ac:dyDescent="0.25">
      <c r="A40" s="649" t="s">
        <v>733</v>
      </c>
      <c r="B40" s="649"/>
      <c r="C40" s="649"/>
      <c r="D40" s="649"/>
    </row>
    <row r="41" spans="1:4" s="308" customFormat="1" ht="15" customHeight="1" x14ac:dyDescent="0.25">
      <c r="A41" s="306"/>
      <c r="B41" s="307"/>
      <c r="C41" s="307"/>
      <c r="D41" s="307"/>
    </row>
    <row r="42" spans="1:4" x14ac:dyDescent="0.25">
      <c r="A42" s="196" t="s">
        <v>721</v>
      </c>
      <c r="B42" s="157" t="s">
        <v>79</v>
      </c>
      <c r="C42" s="157" t="s">
        <v>209</v>
      </c>
      <c r="D42" s="301" t="str">
        <f>IF(Intro!G21="english",B42,C42)</f>
        <v>Vérification</v>
      </c>
    </row>
    <row r="43" spans="1:4" x14ac:dyDescent="0.25">
      <c r="A43" s="196" t="s">
        <v>722</v>
      </c>
      <c r="B43" s="157" t="s">
        <v>406</v>
      </c>
      <c r="C43" s="157" t="s">
        <v>407</v>
      </c>
      <c r="D43" s="301" t="str">
        <f>IF(Intro!G21="english",B43,C43)</f>
        <v>Erreur</v>
      </c>
    </row>
    <row r="44" spans="1:4" x14ac:dyDescent="0.25">
      <c r="B44" s="157" t="s">
        <v>408</v>
      </c>
      <c r="C44" s="157" t="s">
        <v>634</v>
      </c>
      <c r="D44" s="301" t="str">
        <f>IF(Intro!G21="english",B44,C44)</f>
        <v>Correct</v>
      </c>
    </row>
    <row r="46" spans="1:4" x14ac:dyDescent="0.25">
      <c r="A46" s="196" t="s">
        <v>738</v>
      </c>
      <c r="B46" s="167" t="s">
        <v>726</v>
      </c>
      <c r="C46" s="167" t="s">
        <v>728</v>
      </c>
      <c r="D46" s="301" t="str">
        <f>IF(Intro!G21="english",B46,C46)</f>
        <v>Oui</v>
      </c>
    </row>
    <row r="47" spans="1:4" x14ac:dyDescent="0.25">
      <c r="B47" s="167" t="s">
        <v>727</v>
      </c>
      <c r="C47" s="167" t="s">
        <v>729</v>
      </c>
      <c r="D47" s="301" t="str">
        <f>IF(Intro!G21="english",B47,C47)</f>
        <v>Non</v>
      </c>
    </row>
  </sheetData>
  <sheetProtection algorithmName="SHA-512" hashValue="4xjkC5q62/qZx8KTflyAVClF7z40n5Vapv1f1lkMGT/09vaskxCnZcf66aESmyuKBenqZNYTGUcv1WuZSZBTAw==" saltValue="Sw8R03gq5EAx79ItMJBltw==" spinCount="100000" sheet="1" objects="1" scenarios="1" selectLockedCells="1"/>
  <mergeCells count="1">
    <mergeCell ref="A40:D40"/>
  </mergeCells>
  <phoneticPr fontId="1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0.7109375" style="2" hidden="1" customWidth="1"/>
    <col min="16" max="16" width="43.7109375" style="2" hidden="1" customWidth="1"/>
    <col min="17" max="17" width="9.28515625" style="2" customWidth="1"/>
    <col min="18" max="16384" width="9.28515625" style="2"/>
  </cols>
  <sheetData>
    <row r="1" spans="1:16" x14ac:dyDescent="0.25">
      <c r="O1" s="3" t="s">
        <v>169</v>
      </c>
      <c r="P1" s="3" t="s">
        <v>170</v>
      </c>
    </row>
    <row r="2" spans="1:16" x14ac:dyDescent="0.25">
      <c r="B2" s="27" t="str">
        <f>UPPER(IF(Intro!$G$21="English",O2,P2))</f>
        <v>PROTÉGÉ</v>
      </c>
      <c r="O2" s="9" t="s">
        <v>172</v>
      </c>
      <c r="P2" s="9" t="s">
        <v>171</v>
      </c>
    </row>
    <row r="3" spans="1:16" x14ac:dyDescent="0.25">
      <c r="B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t="s">
        <v>173</v>
      </c>
      <c r="P4" s="17" t="s">
        <v>174</v>
      </c>
    </row>
    <row r="5" spans="1:16" s="9" customFormat="1" x14ac:dyDescent="0.25">
      <c r="A5" s="20"/>
      <c r="B5" s="715" t="str">
        <f>Info!B5</f>
        <v>NQ-2025-008</v>
      </c>
      <c r="C5" s="715"/>
      <c r="D5" s="715"/>
      <c r="E5" s="715"/>
      <c r="F5" s="715"/>
      <c r="G5" s="715"/>
      <c r="H5" s="715"/>
      <c r="I5" s="715"/>
      <c r="J5" s="715"/>
      <c r="K5" s="715"/>
      <c r="L5" s="715"/>
      <c r="M5" s="21"/>
      <c r="N5" s="21"/>
      <c r="O5" s="17" t="str">
        <f>Variables!B2</f>
        <v>NQ-2025-008</v>
      </c>
      <c r="P5" s="17" t="str">
        <f>Variables!C2</f>
        <v>NQ-2025-008</v>
      </c>
    </row>
    <row r="6" spans="1:16" s="18" customFormat="1" x14ac:dyDescent="0.25">
      <c r="A6" s="20"/>
      <c r="B6" s="715" t="str">
        <f>Info!B6</f>
        <v>VAISSELLE EN FIBRE MOULÉE THERMOFORMÉE</v>
      </c>
      <c r="C6" s="715"/>
      <c r="D6" s="715"/>
      <c r="E6" s="715"/>
      <c r="F6" s="715"/>
      <c r="G6" s="715"/>
      <c r="H6" s="715"/>
      <c r="I6" s="715"/>
      <c r="J6" s="715"/>
      <c r="K6" s="715"/>
      <c r="L6" s="715"/>
      <c r="M6" s="17"/>
      <c r="N6" s="17"/>
      <c r="O6" s="19" t="str">
        <f>Variables!B3</f>
        <v>thermoformed molded fibre tableware</v>
      </c>
      <c r="P6" s="19" t="str">
        <f>Variables!C3</f>
        <v>vaisselle en fibre moulée thermoformée</v>
      </c>
    </row>
    <row r="7" spans="1:16" s="10" customFormat="1" x14ac:dyDescent="0.25">
      <c r="A7" s="20"/>
      <c r="B7" s="29"/>
      <c r="C7" s="30"/>
      <c r="D7" s="30"/>
      <c r="E7" s="30"/>
      <c r="F7" s="30"/>
      <c r="G7" s="30"/>
      <c r="H7" s="30"/>
      <c r="I7" s="30"/>
      <c r="J7" s="30"/>
      <c r="K7" s="30"/>
      <c r="L7" s="30"/>
      <c r="O7" s="11"/>
      <c r="P7" s="11"/>
    </row>
    <row r="8" spans="1:16" x14ac:dyDescent="0.25">
      <c r="B8" s="35" t="str">
        <f>UPPER(IF(Intro!$G$21="English",O8,P8))</f>
        <v>COMMENTAIRES PROTÉGÉS</v>
      </c>
      <c r="C8" s="36"/>
      <c r="D8" s="36"/>
      <c r="E8" s="36"/>
      <c r="F8" s="36"/>
      <c r="G8" s="36"/>
      <c r="H8" s="36"/>
      <c r="I8" s="36"/>
      <c r="J8" s="36"/>
      <c r="K8" s="36"/>
      <c r="L8" s="37"/>
      <c r="M8" s="157"/>
      <c r="O8" s="2" t="s">
        <v>159</v>
      </c>
      <c r="P8" s="2" t="s">
        <v>456</v>
      </c>
    </row>
    <row r="9" spans="1:16" s="12" customFormat="1" x14ac:dyDescent="0.25">
      <c r="A9" s="14"/>
      <c r="B9" s="31"/>
      <c r="C9" s="33"/>
      <c r="D9" s="33"/>
      <c r="E9" s="33"/>
      <c r="F9" s="33"/>
      <c r="G9" s="33"/>
      <c r="H9" s="33"/>
      <c r="I9" s="33"/>
      <c r="J9" s="33"/>
      <c r="K9" s="33"/>
      <c r="L9" s="34"/>
    </row>
    <row r="10" spans="1:16" s="12" customFormat="1" x14ac:dyDescent="0.25">
      <c r="A10" s="14"/>
      <c r="B10" s="672" t="str">
        <f>IF(Intro!$G$21="English",O10,P10)</f>
        <v>Si votre entreprise désire ajouter des commentaires concernant vos réponses, vous les inscrivez ici. Indiquez à quelle question se rapportent vos commentaires.</v>
      </c>
      <c r="C10" s="673"/>
      <c r="D10" s="673"/>
      <c r="E10" s="673"/>
      <c r="F10" s="673"/>
      <c r="G10" s="673"/>
      <c r="H10" s="673"/>
      <c r="I10" s="673"/>
      <c r="J10" s="673"/>
      <c r="K10" s="673"/>
      <c r="L10" s="674"/>
      <c r="O10" s="13" t="s">
        <v>601</v>
      </c>
      <c r="P10" s="12" t="s">
        <v>437</v>
      </c>
    </row>
    <row r="11" spans="1:16" s="12" customFormat="1" x14ac:dyDescent="0.25">
      <c r="A11" s="14"/>
      <c r="B11" s="186"/>
      <c r="C11" s="33"/>
      <c r="D11" s="33"/>
      <c r="E11" s="33"/>
      <c r="F11" s="33"/>
      <c r="G11" s="33"/>
      <c r="H11" s="33"/>
      <c r="I11" s="33"/>
      <c r="J11" s="33"/>
      <c r="K11" s="33"/>
      <c r="L11" s="34"/>
      <c r="O11" s="13"/>
    </row>
    <row r="12" spans="1:16" s="12" customFormat="1" x14ac:dyDescent="0.25">
      <c r="A12" s="14"/>
      <c r="B12" s="261"/>
      <c r="C12" s="32"/>
      <c r="D12" s="273" t="s">
        <v>289</v>
      </c>
      <c r="E12" s="824" t="str">
        <f>IF(Intro!$G$21="English",O12,P12)</f>
        <v>Commentaires</v>
      </c>
      <c r="F12" s="824"/>
      <c r="G12" s="824"/>
      <c r="H12" s="824"/>
      <c r="I12" s="824"/>
      <c r="J12" s="824"/>
      <c r="K12" s="824"/>
      <c r="L12" s="825"/>
      <c r="O12" s="13" t="s">
        <v>290</v>
      </c>
      <c r="P12" s="12" t="s">
        <v>291</v>
      </c>
    </row>
    <row r="13" spans="1:16" s="157" customFormat="1" ht="14.25" customHeight="1" x14ac:dyDescent="0.25">
      <c r="A13" s="200"/>
      <c r="B13" s="809" t="str">
        <f>IF(Intro!$G$21="English",O13,P13)</f>
        <v>Commentaire 1</v>
      </c>
      <c r="C13" s="810"/>
      <c r="D13" s="814"/>
      <c r="E13" s="817"/>
      <c r="F13" s="818"/>
      <c r="G13" s="818"/>
      <c r="H13" s="818"/>
      <c r="I13" s="818"/>
      <c r="J13" s="818"/>
      <c r="K13" s="818"/>
      <c r="L13" s="819"/>
      <c r="O13" s="13" t="s">
        <v>292</v>
      </c>
      <c r="P13" s="12" t="s">
        <v>293</v>
      </c>
    </row>
    <row r="14" spans="1:16" s="157" customFormat="1" x14ac:dyDescent="0.25">
      <c r="A14" s="200"/>
      <c r="B14" s="778"/>
      <c r="C14" s="811"/>
      <c r="D14" s="815"/>
      <c r="E14" s="820"/>
      <c r="F14" s="707"/>
      <c r="G14" s="707"/>
      <c r="H14" s="707"/>
      <c r="I14" s="707"/>
      <c r="J14" s="707"/>
      <c r="K14" s="707"/>
      <c r="L14" s="708"/>
    </row>
    <row r="15" spans="1:16" s="157" customFormat="1" x14ac:dyDescent="0.25">
      <c r="A15" s="200"/>
      <c r="B15" s="778"/>
      <c r="C15" s="811"/>
      <c r="D15" s="815"/>
      <c r="E15" s="820"/>
      <c r="F15" s="707"/>
      <c r="G15" s="707"/>
      <c r="H15" s="707"/>
      <c r="I15" s="707"/>
      <c r="J15" s="707"/>
      <c r="K15" s="707"/>
      <c r="L15" s="708"/>
    </row>
    <row r="16" spans="1:16" s="157" customFormat="1" x14ac:dyDescent="0.25">
      <c r="A16" s="200"/>
      <c r="B16" s="778"/>
      <c r="C16" s="811"/>
      <c r="D16" s="815"/>
      <c r="E16" s="820"/>
      <c r="F16" s="707"/>
      <c r="G16" s="707"/>
      <c r="H16" s="707"/>
      <c r="I16" s="707"/>
      <c r="J16" s="707"/>
      <c r="K16" s="707"/>
      <c r="L16" s="708"/>
    </row>
    <row r="17" spans="1:16" s="157" customFormat="1" x14ac:dyDescent="0.25">
      <c r="A17" s="200"/>
      <c r="B17" s="778"/>
      <c r="C17" s="811"/>
      <c r="D17" s="815"/>
      <c r="E17" s="820"/>
      <c r="F17" s="707"/>
      <c r="G17" s="707"/>
      <c r="H17" s="707"/>
      <c r="I17" s="707"/>
      <c r="J17" s="707"/>
      <c r="K17" s="707"/>
      <c r="L17" s="708"/>
    </row>
    <row r="18" spans="1:16" s="157" customFormat="1" x14ac:dyDescent="0.25">
      <c r="A18" s="200"/>
      <c r="B18" s="778"/>
      <c r="C18" s="811"/>
      <c r="D18" s="815"/>
      <c r="E18" s="820"/>
      <c r="F18" s="707"/>
      <c r="G18" s="707"/>
      <c r="H18" s="707"/>
      <c r="I18" s="707"/>
      <c r="J18" s="707"/>
      <c r="K18" s="707"/>
      <c r="L18" s="708"/>
      <c r="O18" s="183"/>
      <c r="P18" s="183"/>
    </row>
    <row r="19" spans="1:16" s="157" customFormat="1" x14ac:dyDescent="0.25">
      <c r="A19" s="200"/>
      <c r="B19" s="778"/>
      <c r="C19" s="811"/>
      <c r="D19" s="815"/>
      <c r="E19" s="820"/>
      <c r="F19" s="707"/>
      <c r="G19" s="707"/>
      <c r="H19" s="707"/>
      <c r="I19" s="707"/>
      <c r="J19" s="707"/>
      <c r="K19" s="707"/>
      <c r="L19" s="708"/>
      <c r="O19" s="13"/>
      <c r="P19" s="12"/>
    </row>
    <row r="20" spans="1:16" s="157" customFormat="1" x14ac:dyDescent="0.25">
      <c r="A20" s="200"/>
      <c r="B20" s="778"/>
      <c r="C20" s="811"/>
      <c r="D20" s="815"/>
      <c r="E20" s="820"/>
      <c r="F20" s="707"/>
      <c r="G20" s="707"/>
      <c r="H20" s="707"/>
      <c r="I20" s="707"/>
      <c r="J20" s="707"/>
      <c r="K20" s="707"/>
      <c r="L20" s="708"/>
      <c r="O20" s="13"/>
      <c r="P20" s="12"/>
    </row>
    <row r="21" spans="1:16" s="157" customFormat="1" x14ac:dyDescent="0.25">
      <c r="A21" s="200"/>
      <c r="B21" s="812"/>
      <c r="C21" s="813"/>
      <c r="D21" s="816"/>
      <c r="E21" s="821"/>
      <c r="F21" s="822"/>
      <c r="G21" s="822"/>
      <c r="H21" s="822"/>
      <c r="I21" s="822"/>
      <c r="J21" s="822"/>
      <c r="K21" s="822"/>
      <c r="L21" s="823"/>
      <c r="O21" s="13"/>
      <c r="P21" s="12"/>
    </row>
    <row r="22" spans="1:16" s="157" customFormat="1" ht="14.25" customHeight="1" x14ac:dyDescent="0.25">
      <c r="A22" s="200"/>
      <c r="B22" s="809" t="str">
        <f>IF(Intro!$G$21="English",O22,P22)</f>
        <v>Commentaire 2</v>
      </c>
      <c r="C22" s="810"/>
      <c r="D22" s="814"/>
      <c r="E22" s="817"/>
      <c r="F22" s="818"/>
      <c r="G22" s="818"/>
      <c r="H22" s="818"/>
      <c r="I22" s="818"/>
      <c r="J22" s="818"/>
      <c r="K22" s="818"/>
      <c r="L22" s="819"/>
      <c r="O22" s="13" t="s">
        <v>294</v>
      </c>
      <c r="P22" s="12" t="s">
        <v>295</v>
      </c>
    </row>
    <row r="23" spans="1:16" s="157" customFormat="1" x14ac:dyDescent="0.25">
      <c r="A23" s="200"/>
      <c r="B23" s="778"/>
      <c r="C23" s="811"/>
      <c r="D23" s="815"/>
      <c r="E23" s="820"/>
      <c r="F23" s="707"/>
      <c r="G23" s="707"/>
      <c r="H23" s="707"/>
      <c r="I23" s="707"/>
      <c r="J23" s="707"/>
      <c r="K23" s="707"/>
      <c r="L23" s="708"/>
    </row>
    <row r="24" spans="1:16" s="157" customFormat="1" x14ac:dyDescent="0.25">
      <c r="A24" s="200"/>
      <c r="B24" s="778"/>
      <c r="C24" s="811"/>
      <c r="D24" s="815"/>
      <c r="E24" s="820"/>
      <c r="F24" s="707"/>
      <c r="G24" s="707"/>
      <c r="H24" s="707"/>
      <c r="I24" s="707"/>
      <c r="J24" s="707"/>
      <c r="K24" s="707"/>
      <c r="L24" s="708"/>
    </row>
    <row r="25" spans="1:16" s="157" customFormat="1" x14ac:dyDescent="0.25">
      <c r="A25" s="200"/>
      <c r="B25" s="778"/>
      <c r="C25" s="811"/>
      <c r="D25" s="815"/>
      <c r="E25" s="820"/>
      <c r="F25" s="707"/>
      <c r="G25" s="707"/>
      <c r="H25" s="707"/>
      <c r="I25" s="707"/>
      <c r="J25" s="707"/>
      <c r="K25" s="707"/>
      <c r="L25" s="708"/>
    </row>
    <row r="26" spans="1:16" s="157" customFormat="1" x14ac:dyDescent="0.25">
      <c r="A26" s="200"/>
      <c r="B26" s="778"/>
      <c r="C26" s="811"/>
      <c r="D26" s="815"/>
      <c r="E26" s="820"/>
      <c r="F26" s="707"/>
      <c r="G26" s="707"/>
      <c r="H26" s="707"/>
      <c r="I26" s="707"/>
      <c r="J26" s="707"/>
      <c r="K26" s="707"/>
      <c r="L26" s="708"/>
      <c r="O26" s="13"/>
      <c r="P26" s="12"/>
    </row>
    <row r="27" spans="1:16" s="157" customFormat="1" x14ac:dyDescent="0.25">
      <c r="A27" s="200"/>
      <c r="B27" s="778"/>
      <c r="C27" s="811"/>
      <c r="D27" s="815"/>
      <c r="E27" s="820"/>
      <c r="F27" s="707"/>
      <c r="G27" s="707"/>
      <c r="H27" s="707"/>
      <c r="I27" s="707"/>
      <c r="J27" s="707"/>
      <c r="K27" s="707"/>
      <c r="L27" s="708"/>
      <c r="O27" s="13"/>
      <c r="P27" s="12"/>
    </row>
    <row r="28" spans="1:16" s="157" customFormat="1" x14ac:dyDescent="0.25">
      <c r="A28" s="200"/>
      <c r="B28" s="778"/>
      <c r="C28" s="811"/>
      <c r="D28" s="815"/>
      <c r="E28" s="820"/>
      <c r="F28" s="707"/>
      <c r="G28" s="707"/>
      <c r="H28" s="707"/>
      <c r="I28" s="707"/>
      <c r="J28" s="707"/>
      <c r="K28" s="707"/>
      <c r="L28" s="708"/>
      <c r="O28" s="13"/>
      <c r="P28" s="12"/>
    </row>
    <row r="29" spans="1:16" s="157" customFormat="1" x14ac:dyDescent="0.25">
      <c r="A29" s="200"/>
      <c r="B29" s="778"/>
      <c r="C29" s="811"/>
      <c r="D29" s="815"/>
      <c r="E29" s="820"/>
      <c r="F29" s="707"/>
      <c r="G29" s="707"/>
      <c r="H29" s="707"/>
      <c r="I29" s="707"/>
      <c r="J29" s="707"/>
      <c r="K29" s="707"/>
      <c r="L29" s="708"/>
      <c r="O29" s="13"/>
      <c r="P29" s="12"/>
    </row>
    <row r="30" spans="1:16" s="157" customFormat="1" x14ac:dyDescent="0.25">
      <c r="A30" s="200"/>
      <c r="B30" s="812"/>
      <c r="C30" s="813"/>
      <c r="D30" s="816"/>
      <c r="E30" s="821"/>
      <c r="F30" s="822"/>
      <c r="G30" s="822"/>
      <c r="H30" s="822"/>
      <c r="I30" s="822"/>
      <c r="J30" s="822"/>
      <c r="K30" s="822"/>
      <c r="L30" s="823"/>
      <c r="O30" s="13"/>
      <c r="P30" s="12"/>
    </row>
    <row r="31" spans="1:16" s="157" customFormat="1" ht="14.25" customHeight="1" x14ac:dyDescent="0.25">
      <c r="A31" s="200"/>
      <c r="B31" s="809" t="str">
        <f>IF(Intro!$G$21="English",O31,P31)</f>
        <v>Commentaire 3</v>
      </c>
      <c r="C31" s="810"/>
      <c r="D31" s="814"/>
      <c r="E31" s="817"/>
      <c r="F31" s="818"/>
      <c r="G31" s="818"/>
      <c r="H31" s="818"/>
      <c r="I31" s="818"/>
      <c r="J31" s="818"/>
      <c r="K31" s="818"/>
      <c r="L31" s="819"/>
      <c r="O31" s="13" t="s">
        <v>296</v>
      </c>
      <c r="P31" s="12" t="s">
        <v>297</v>
      </c>
    </row>
    <row r="32" spans="1:16" s="157" customFormat="1" x14ac:dyDescent="0.25">
      <c r="A32" s="200"/>
      <c r="B32" s="778"/>
      <c r="C32" s="811"/>
      <c r="D32" s="815"/>
      <c r="E32" s="820"/>
      <c r="F32" s="707"/>
      <c r="G32" s="707"/>
      <c r="H32" s="707"/>
      <c r="I32" s="707"/>
      <c r="J32" s="707"/>
      <c r="K32" s="707"/>
      <c r="L32" s="708"/>
    </row>
    <row r="33" spans="1:16" s="157" customFormat="1" x14ac:dyDescent="0.25">
      <c r="A33" s="200"/>
      <c r="B33" s="778"/>
      <c r="C33" s="811"/>
      <c r="D33" s="815"/>
      <c r="E33" s="820"/>
      <c r="F33" s="707"/>
      <c r="G33" s="707"/>
      <c r="H33" s="707"/>
      <c r="I33" s="707"/>
      <c r="J33" s="707"/>
      <c r="K33" s="707"/>
      <c r="L33" s="708"/>
    </row>
    <row r="34" spans="1:16" s="157" customFormat="1" x14ac:dyDescent="0.25">
      <c r="A34" s="200"/>
      <c r="B34" s="778"/>
      <c r="C34" s="811"/>
      <c r="D34" s="815"/>
      <c r="E34" s="820"/>
      <c r="F34" s="707"/>
      <c r="G34" s="707"/>
      <c r="H34" s="707"/>
      <c r="I34" s="707"/>
      <c r="J34" s="707"/>
      <c r="K34" s="707"/>
      <c r="L34" s="708"/>
      <c r="O34" s="13"/>
      <c r="P34" s="12"/>
    </row>
    <row r="35" spans="1:16" s="157" customFormat="1" x14ac:dyDescent="0.25">
      <c r="A35" s="200"/>
      <c r="B35" s="778"/>
      <c r="C35" s="811"/>
      <c r="D35" s="815"/>
      <c r="E35" s="820"/>
      <c r="F35" s="707"/>
      <c r="G35" s="707"/>
      <c r="H35" s="707"/>
      <c r="I35" s="707"/>
      <c r="J35" s="707"/>
      <c r="K35" s="707"/>
      <c r="L35" s="708"/>
      <c r="O35" s="13"/>
      <c r="P35" s="12"/>
    </row>
    <row r="36" spans="1:16" s="157" customFormat="1" x14ac:dyDescent="0.25">
      <c r="A36" s="200"/>
      <c r="B36" s="778"/>
      <c r="C36" s="811"/>
      <c r="D36" s="815"/>
      <c r="E36" s="820"/>
      <c r="F36" s="707"/>
      <c r="G36" s="707"/>
      <c r="H36" s="707"/>
      <c r="I36" s="707"/>
      <c r="J36" s="707"/>
      <c r="K36" s="707"/>
      <c r="L36" s="708"/>
      <c r="O36" s="13"/>
      <c r="P36" s="12"/>
    </row>
    <row r="37" spans="1:16" s="157" customFormat="1" x14ac:dyDescent="0.25">
      <c r="A37" s="200"/>
      <c r="B37" s="778"/>
      <c r="C37" s="811"/>
      <c r="D37" s="815"/>
      <c r="E37" s="820"/>
      <c r="F37" s="707"/>
      <c r="G37" s="707"/>
      <c r="H37" s="707"/>
      <c r="I37" s="707"/>
      <c r="J37" s="707"/>
      <c r="K37" s="707"/>
      <c r="L37" s="708"/>
      <c r="O37" s="13"/>
      <c r="P37" s="12"/>
    </row>
    <row r="38" spans="1:16" s="157" customFormat="1" x14ac:dyDescent="0.25">
      <c r="A38" s="200"/>
      <c r="B38" s="778"/>
      <c r="C38" s="811"/>
      <c r="D38" s="815"/>
      <c r="E38" s="820"/>
      <c r="F38" s="707"/>
      <c r="G38" s="707"/>
      <c r="H38" s="707"/>
      <c r="I38" s="707"/>
      <c r="J38" s="707"/>
      <c r="K38" s="707"/>
      <c r="L38" s="708"/>
      <c r="O38" s="13"/>
      <c r="P38" s="12"/>
    </row>
    <row r="39" spans="1:16" s="157" customFormat="1" x14ac:dyDescent="0.25">
      <c r="A39" s="200"/>
      <c r="B39" s="812"/>
      <c r="C39" s="813"/>
      <c r="D39" s="816"/>
      <c r="E39" s="821"/>
      <c r="F39" s="822"/>
      <c r="G39" s="822"/>
      <c r="H39" s="822"/>
      <c r="I39" s="822"/>
      <c r="J39" s="822"/>
      <c r="K39" s="822"/>
      <c r="L39" s="823"/>
      <c r="O39" s="13"/>
      <c r="P39" s="12"/>
    </row>
    <row r="40" spans="1:16" s="157" customFormat="1" ht="14.25" customHeight="1" x14ac:dyDescent="0.25">
      <c r="A40" s="200"/>
      <c r="B40" s="809" t="str">
        <f>IF(Intro!$G$21="English",O40,P40)</f>
        <v>Commentaire 4</v>
      </c>
      <c r="C40" s="810"/>
      <c r="D40" s="814"/>
      <c r="E40" s="817"/>
      <c r="F40" s="818"/>
      <c r="G40" s="818"/>
      <c r="H40" s="818"/>
      <c r="I40" s="818"/>
      <c r="J40" s="818"/>
      <c r="K40" s="818"/>
      <c r="L40" s="819"/>
      <c r="O40" s="13" t="s">
        <v>298</v>
      </c>
      <c r="P40" s="12" t="s">
        <v>299</v>
      </c>
    </row>
    <row r="41" spans="1:16" s="157" customFormat="1" x14ac:dyDescent="0.25">
      <c r="A41" s="200"/>
      <c r="B41" s="778"/>
      <c r="C41" s="811"/>
      <c r="D41" s="815"/>
      <c r="E41" s="820"/>
      <c r="F41" s="707"/>
      <c r="G41" s="707"/>
      <c r="H41" s="707"/>
      <c r="I41" s="707"/>
      <c r="J41" s="707"/>
      <c r="K41" s="707"/>
      <c r="L41" s="708"/>
    </row>
    <row r="42" spans="1:16" s="157" customFormat="1" x14ac:dyDescent="0.25">
      <c r="A42" s="200"/>
      <c r="B42" s="778"/>
      <c r="C42" s="811"/>
      <c r="D42" s="815"/>
      <c r="E42" s="820"/>
      <c r="F42" s="707"/>
      <c r="G42" s="707"/>
      <c r="H42" s="707"/>
      <c r="I42" s="707"/>
      <c r="J42" s="707"/>
      <c r="K42" s="707"/>
      <c r="L42" s="708"/>
      <c r="O42" s="13"/>
      <c r="P42" s="12"/>
    </row>
    <row r="43" spans="1:16" s="157" customFormat="1" x14ac:dyDescent="0.25">
      <c r="A43" s="200"/>
      <c r="B43" s="778"/>
      <c r="C43" s="811"/>
      <c r="D43" s="815"/>
      <c r="E43" s="820"/>
      <c r="F43" s="707"/>
      <c r="G43" s="707"/>
      <c r="H43" s="707"/>
      <c r="I43" s="707"/>
      <c r="J43" s="707"/>
      <c r="K43" s="707"/>
      <c r="L43" s="708"/>
      <c r="O43" s="13"/>
      <c r="P43" s="12"/>
    </row>
    <row r="44" spans="1:16" s="157" customFormat="1" x14ac:dyDescent="0.25">
      <c r="A44" s="200"/>
      <c r="B44" s="778"/>
      <c r="C44" s="811"/>
      <c r="D44" s="815"/>
      <c r="E44" s="820"/>
      <c r="F44" s="707"/>
      <c r="G44" s="707"/>
      <c r="H44" s="707"/>
      <c r="I44" s="707"/>
      <c r="J44" s="707"/>
      <c r="K44" s="707"/>
      <c r="L44" s="708"/>
      <c r="O44" s="13"/>
      <c r="P44" s="12"/>
    </row>
    <row r="45" spans="1:16" s="157" customFormat="1" x14ac:dyDescent="0.25">
      <c r="A45" s="200"/>
      <c r="B45" s="778"/>
      <c r="C45" s="811"/>
      <c r="D45" s="815"/>
      <c r="E45" s="820"/>
      <c r="F45" s="707"/>
      <c r="G45" s="707"/>
      <c r="H45" s="707"/>
      <c r="I45" s="707"/>
      <c r="J45" s="707"/>
      <c r="K45" s="707"/>
      <c r="L45" s="708"/>
      <c r="O45" s="13"/>
      <c r="P45" s="12"/>
    </row>
    <row r="46" spans="1:16" s="157" customFormat="1" x14ac:dyDescent="0.25">
      <c r="A46" s="200"/>
      <c r="B46" s="778"/>
      <c r="C46" s="811"/>
      <c r="D46" s="815"/>
      <c r="E46" s="820"/>
      <c r="F46" s="707"/>
      <c r="G46" s="707"/>
      <c r="H46" s="707"/>
      <c r="I46" s="707"/>
      <c r="J46" s="707"/>
      <c r="K46" s="707"/>
      <c r="L46" s="708"/>
      <c r="O46" s="13"/>
      <c r="P46" s="12"/>
    </row>
    <row r="47" spans="1:16" s="157" customFormat="1" x14ac:dyDescent="0.25">
      <c r="A47" s="200"/>
      <c r="B47" s="778"/>
      <c r="C47" s="811"/>
      <c r="D47" s="815"/>
      <c r="E47" s="820"/>
      <c r="F47" s="707"/>
      <c r="G47" s="707"/>
      <c r="H47" s="707"/>
      <c r="I47" s="707"/>
      <c r="J47" s="707"/>
      <c r="K47" s="707"/>
      <c r="L47" s="708"/>
      <c r="O47" s="13"/>
      <c r="P47" s="12"/>
    </row>
    <row r="48" spans="1:16" s="157" customFormat="1" x14ac:dyDescent="0.25">
      <c r="A48" s="200"/>
      <c r="B48" s="812"/>
      <c r="C48" s="813"/>
      <c r="D48" s="816"/>
      <c r="E48" s="821"/>
      <c r="F48" s="822"/>
      <c r="G48" s="822"/>
      <c r="H48" s="822"/>
      <c r="I48" s="822"/>
      <c r="J48" s="822"/>
      <c r="K48" s="822"/>
      <c r="L48" s="823"/>
      <c r="O48" s="13"/>
      <c r="P48" s="12"/>
    </row>
    <row r="49" spans="1:16" s="157" customFormat="1" ht="14.25" customHeight="1" x14ac:dyDescent="0.25">
      <c r="A49" s="200"/>
      <c r="B49" s="809" t="str">
        <f>IF(Intro!$G$21="English",O49,P49)</f>
        <v>Commentaire 5</v>
      </c>
      <c r="C49" s="810"/>
      <c r="D49" s="814"/>
      <c r="E49" s="817"/>
      <c r="F49" s="818"/>
      <c r="G49" s="818"/>
      <c r="H49" s="818"/>
      <c r="I49" s="818"/>
      <c r="J49" s="818"/>
      <c r="K49" s="818"/>
      <c r="L49" s="819"/>
      <c r="O49" s="13" t="s">
        <v>300</v>
      </c>
      <c r="P49" s="12" t="s">
        <v>301</v>
      </c>
    </row>
    <row r="50" spans="1:16" s="157" customFormat="1" x14ac:dyDescent="0.25">
      <c r="A50" s="200"/>
      <c r="B50" s="778"/>
      <c r="C50" s="811"/>
      <c r="D50" s="815"/>
      <c r="E50" s="820"/>
      <c r="F50" s="707"/>
      <c r="G50" s="707"/>
      <c r="H50" s="707"/>
      <c r="I50" s="707"/>
      <c r="J50" s="707"/>
      <c r="K50" s="707"/>
      <c r="L50" s="708"/>
      <c r="O50" s="13"/>
      <c r="P50" s="12"/>
    </row>
    <row r="51" spans="1:16" s="157" customFormat="1" x14ac:dyDescent="0.25">
      <c r="A51" s="200"/>
      <c r="B51" s="778"/>
      <c r="C51" s="811"/>
      <c r="D51" s="815"/>
      <c r="E51" s="820"/>
      <c r="F51" s="707"/>
      <c r="G51" s="707"/>
      <c r="H51" s="707"/>
      <c r="I51" s="707"/>
      <c r="J51" s="707"/>
      <c r="K51" s="707"/>
      <c r="L51" s="708"/>
      <c r="O51" s="13"/>
      <c r="P51" s="12"/>
    </row>
    <row r="52" spans="1:16" s="157" customFormat="1" x14ac:dyDescent="0.25">
      <c r="A52" s="200"/>
      <c r="B52" s="778"/>
      <c r="C52" s="811"/>
      <c r="D52" s="815"/>
      <c r="E52" s="820"/>
      <c r="F52" s="707"/>
      <c r="G52" s="707"/>
      <c r="H52" s="707"/>
      <c r="I52" s="707"/>
      <c r="J52" s="707"/>
      <c r="K52" s="707"/>
      <c r="L52" s="708"/>
      <c r="O52" s="13"/>
      <c r="P52" s="12"/>
    </row>
    <row r="53" spans="1:16" s="157" customFormat="1" x14ac:dyDescent="0.25">
      <c r="A53" s="200"/>
      <c r="B53" s="778"/>
      <c r="C53" s="811"/>
      <c r="D53" s="815"/>
      <c r="E53" s="820"/>
      <c r="F53" s="707"/>
      <c r="G53" s="707"/>
      <c r="H53" s="707"/>
      <c r="I53" s="707"/>
      <c r="J53" s="707"/>
      <c r="K53" s="707"/>
      <c r="L53" s="708"/>
      <c r="O53" s="13"/>
      <c r="P53" s="12"/>
    </row>
    <row r="54" spans="1:16" s="157" customFormat="1" x14ac:dyDescent="0.25">
      <c r="A54" s="200"/>
      <c r="B54" s="778"/>
      <c r="C54" s="811"/>
      <c r="D54" s="815"/>
      <c r="E54" s="820"/>
      <c r="F54" s="707"/>
      <c r="G54" s="707"/>
      <c r="H54" s="707"/>
      <c r="I54" s="707"/>
      <c r="J54" s="707"/>
      <c r="K54" s="707"/>
      <c r="L54" s="708"/>
      <c r="O54" s="13"/>
      <c r="P54" s="12"/>
    </row>
    <row r="55" spans="1:16" s="157" customFormat="1" x14ac:dyDescent="0.25">
      <c r="A55" s="200"/>
      <c r="B55" s="778"/>
      <c r="C55" s="811"/>
      <c r="D55" s="815"/>
      <c r="E55" s="820"/>
      <c r="F55" s="707"/>
      <c r="G55" s="707"/>
      <c r="H55" s="707"/>
      <c r="I55" s="707"/>
      <c r="J55" s="707"/>
      <c r="K55" s="707"/>
      <c r="L55" s="708"/>
      <c r="O55" s="13"/>
      <c r="P55" s="12"/>
    </row>
    <row r="56" spans="1:16" s="157" customFormat="1" x14ac:dyDescent="0.25">
      <c r="A56" s="200"/>
      <c r="B56" s="778"/>
      <c r="C56" s="811"/>
      <c r="D56" s="815"/>
      <c r="E56" s="820"/>
      <c r="F56" s="707"/>
      <c r="G56" s="707"/>
      <c r="H56" s="707"/>
      <c r="I56" s="707"/>
      <c r="J56" s="707"/>
      <c r="K56" s="707"/>
      <c r="L56" s="708"/>
      <c r="O56" s="13"/>
      <c r="P56" s="12"/>
    </row>
    <row r="57" spans="1:16" s="183" customFormat="1" x14ac:dyDescent="0.25">
      <c r="A57" s="212"/>
      <c r="B57" s="812"/>
      <c r="C57" s="813"/>
      <c r="D57" s="816"/>
      <c r="E57" s="821"/>
      <c r="F57" s="822"/>
      <c r="G57" s="822"/>
      <c r="H57" s="822"/>
      <c r="I57" s="822"/>
      <c r="J57" s="822"/>
      <c r="K57" s="822"/>
      <c r="L57" s="823"/>
      <c r="N57" s="215"/>
    </row>
  </sheetData>
  <sheetProtection algorithmName="SHA-512" hashValue="3gWYtrMHTjXVKIPopfavxyEi+uZ5Kux8OuzEMm5eFNVngJEE1ORyZtEiQN9CbytKN+v55lDk7MZdjVTMn8ZOlQ==" saltValue="tHgkYe7NavNVpud9oHnTwQ==" spinCount="100000" sheet="1" objects="1" scenarios="1" selectLockedCells="1"/>
  <mergeCells count="20">
    <mergeCell ref="B13:C21"/>
    <mergeCell ref="D13:D21"/>
    <mergeCell ref="E13:L21"/>
    <mergeCell ref="B4:L4"/>
    <mergeCell ref="B5:L5"/>
    <mergeCell ref="B6:L6"/>
    <mergeCell ref="B10:L10"/>
    <mergeCell ref="E12:L12"/>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qref="D13:D57" xr:uid="{FD8FA670-AF10-4027-9520-F95D517200F5}"/>
  </dataValidations>
  <printOptions horizontalCentered="1"/>
  <pageMargins left="0.25" right="0.25" top="0.75" bottom="0.75" header="0.3" footer="0.3"/>
  <pageSetup scale="63" firstPageNumber="39"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86"/>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7.28515625" style="2" hidden="1" customWidth="1"/>
    <col min="16" max="16" width="50.42578125" style="2" hidden="1" customWidth="1"/>
    <col min="17" max="18" width="9.28515625" style="2" customWidth="1"/>
    <col min="19" max="16384" width="9.28515625" style="2"/>
  </cols>
  <sheetData>
    <row r="1" spans="1:16" x14ac:dyDescent="0.25">
      <c r="O1" s="3" t="s">
        <v>169</v>
      </c>
      <c r="P1" s="3" t="s">
        <v>170</v>
      </c>
    </row>
    <row r="2" spans="1:16" x14ac:dyDescent="0.25">
      <c r="B2" s="27" t="s">
        <v>0</v>
      </c>
      <c r="O2" s="9"/>
      <c r="P2" s="9"/>
    </row>
    <row r="3" spans="1:16" x14ac:dyDescent="0.25">
      <c r="B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VAISSELLE EN FIBRE MOULÉE THERMOFORMÉE</v>
      </c>
      <c r="C6" s="715"/>
      <c r="D6" s="715"/>
      <c r="E6" s="715"/>
      <c r="F6" s="715"/>
      <c r="G6" s="715"/>
      <c r="H6" s="715"/>
      <c r="I6" s="715"/>
      <c r="J6" s="715"/>
      <c r="K6" s="715"/>
      <c r="L6" s="715"/>
      <c r="M6" s="17"/>
      <c r="N6" s="17"/>
      <c r="O6" s="19"/>
      <c r="P6" s="19"/>
    </row>
    <row r="7" spans="1:16" s="10" customFormat="1" x14ac:dyDescent="0.25">
      <c r="A7" s="20"/>
      <c r="B7" s="29"/>
      <c r="C7" s="30"/>
      <c r="D7" s="30"/>
      <c r="E7" s="30"/>
      <c r="F7" s="30"/>
      <c r="G7" s="30"/>
      <c r="H7" s="30"/>
      <c r="I7" s="30"/>
      <c r="J7" s="30"/>
      <c r="K7" s="30"/>
      <c r="L7" s="30"/>
      <c r="O7" s="11"/>
      <c r="P7" s="11"/>
    </row>
    <row r="8" spans="1:16" x14ac:dyDescent="0.25">
      <c r="B8" s="888" t="str">
        <f>IF(Intro!$G$21="English",O8,P8)</f>
        <v>CONFIRMATION DES DONNÉES DÉCLARÉES</v>
      </c>
      <c r="C8" s="889"/>
      <c r="D8" s="889"/>
      <c r="E8" s="889"/>
      <c r="F8" s="889"/>
      <c r="G8" s="889"/>
      <c r="H8" s="889"/>
      <c r="I8" s="889"/>
      <c r="J8" s="889"/>
      <c r="K8" s="889"/>
      <c r="L8" s="890"/>
      <c r="M8" s="157"/>
      <c r="O8" s="2" t="s">
        <v>18</v>
      </c>
      <c r="P8" s="2" t="s">
        <v>19</v>
      </c>
    </row>
    <row r="9" spans="1:16" x14ac:dyDescent="0.25">
      <c r="B9" s="678" t="str">
        <f>IF(Intro!$G$21="English",O9,P9)</f>
        <v>GÉNÉRAL</v>
      </c>
      <c r="C9" s="679"/>
      <c r="D9" s="679"/>
      <c r="E9" s="679"/>
      <c r="F9" s="679"/>
      <c r="G9" s="679"/>
      <c r="H9" s="679"/>
      <c r="I9" s="679"/>
      <c r="J9" s="679"/>
      <c r="K9" s="679"/>
      <c r="L9" s="680"/>
      <c r="M9" s="157"/>
      <c r="O9" s="257" t="s">
        <v>711</v>
      </c>
      <c r="P9" s="257" t="s">
        <v>712</v>
      </c>
    </row>
    <row r="10" spans="1:16" s="157" customFormat="1" x14ac:dyDescent="0.25">
      <c r="A10" s="200"/>
      <c r="B10" s="201"/>
      <c r="C10" s="202"/>
      <c r="D10" s="202"/>
      <c r="E10" s="202"/>
      <c r="F10" s="202"/>
      <c r="G10" s="202"/>
      <c r="H10" s="202"/>
      <c r="I10" s="202"/>
      <c r="J10" s="202"/>
      <c r="K10" s="202"/>
      <c r="L10" s="203"/>
    </row>
    <row r="11" spans="1:16" s="156" customFormat="1" x14ac:dyDescent="0.25">
      <c r="A11" s="46"/>
      <c r="B11" s="227"/>
      <c r="C11" s="314"/>
      <c r="D11" s="314"/>
      <c r="E11" s="314"/>
      <c r="F11" s="314"/>
      <c r="G11" s="314"/>
      <c r="H11" s="314"/>
      <c r="I11" s="314"/>
      <c r="J11" s="639" t="str">
        <f>IF(Intro!$G$21="English",O11,P11)</f>
        <v>Selectionnez oui ou non</v>
      </c>
      <c r="K11" s="314"/>
      <c r="L11" s="229"/>
      <c r="O11" s="156" t="s">
        <v>379</v>
      </c>
      <c r="P11" s="156" t="s">
        <v>605</v>
      </c>
    </row>
    <row r="12" spans="1:16" s="182" customFormat="1" x14ac:dyDescent="0.25">
      <c r="A12" s="204"/>
      <c r="B12" s="650" t="str">
        <f>IF(Intro!$G$21="English",O12,P12)</f>
        <v>Confirmez que toutes les données déclarées dans ce questionnaire concernent les marchandises telles que définies dans l’onglet « Intro ».</v>
      </c>
      <c r="C12" s="651"/>
      <c r="D12" s="651"/>
      <c r="E12" s="651"/>
      <c r="F12" s="651"/>
      <c r="G12" s="651"/>
      <c r="H12" s="651"/>
      <c r="I12" s="651"/>
      <c r="J12" s="629"/>
      <c r="K12" s="205"/>
      <c r="L12" s="206"/>
      <c r="O12" s="182" t="s">
        <v>762</v>
      </c>
      <c r="P12" s="182" t="s">
        <v>763</v>
      </c>
    </row>
    <row r="13" spans="1:16" s="182" customFormat="1" x14ac:dyDescent="0.25">
      <c r="A13" s="204"/>
      <c r="B13" s="650" t="str">
        <f>IF(Intro!$G$21="English",O13,P13)</f>
        <v>Confirmez que tous les volumes déclarés dans ce questionnaire sont en pièces.</v>
      </c>
      <c r="C13" s="651"/>
      <c r="D13" s="651"/>
      <c r="E13" s="651"/>
      <c r="F13" s="651"/>
      <c r="G13" s="651"/>
      <c r="H13" s="651"/>
      <c r="I13" s="651"/>
      <c r="J13" s="272"/>
      <c r="K13" s="167"/>
      <c r="L13" s="206"/>
      <c r="O13" s="182" t="str">
        <f>"Confirm that all volumes reported in this questionnaire are in "&amp;Variables!B23&amp;"."</f>
        <v>Confirm that all volumes reported in this questionnaire are in pieces.</v>
      </c>
      <c r="P13" s="182" t="str">
        <f>"Confirmez que tous les volumes déclarés dans ce questionnaire sont en "&amp;Variables!C23&amp;"."</f>
        <v>Confirmez que tous les volumes déclarés dans ce questionnaire sont en pièces.</v>
      </c>
    </row>
    <row r="14" spans="1:16" s="182" customFormat="1" x14ac:dyDescent="0.25">
      <c r="A14" s="204"/>
      <c r="B14" s="650" t="str">
        <f>IF(Intro!$G$21="English",O14,P14)</f>
        <v>Confirmez que toutes les valeurs déclarées dans ce questionnaire sont en dollars canadiens.</v>
      </c>
      <c r="C14" s="651"/>
      <c r="D14" s="651"/>
      <c r="E14" s="651"/>
      <c r="F14" s="651"/>
      <c r="G14" s="651"/>
      <c r="H14" s="651"/>
      <c r="I14" s="651"/>
      <c r="J14" s="272"/>
      <c r="K14" s="167"/>
      <c r="L14" s="206"/>
      <c r="O14" s="182" t="s">
        <v>458</v>
      </c>
      <c r="P14" s="182" t="s">
        <v>457</v>
      </c>
    </row>
    <row r="15" spans="1:16" s="182" customFormat="1" x14ac:dyDescent="0.25">
      <c r="A15" s="204"/>
      <c r="B15" s="650" t="str">
        <f>IF(Intro!$G$21="English",O15,P15)</f>
        <v>Confirmez que tous les renseignements déclarés le sont selon l’année civile.</v>
      </c>
      <c r="C15" s="651"/>
      <c r="D15" s="651"/>
      <c r="E15" s="651"/>
      <c r="F15" s="651"/>
      <c r="G15" s="651"/>
      <c r="H15" s="651"/>
      <c r="I15" s="651"/>
      <c r="J15" s="272"/>
      <c r="K15" s="205"/>
      <c r="L15" s="206"/>
      <c r="O15" s="182" t="s">
        <v>160</v>
      </c>
      <c r="P15" s="182" t="s">
        <v>161</v>
      </c>
    </row>
    <row r="16" spans="1:16" s="157" customFormat="1" x14ac:dyDescent="0.25">
      <c r="A16" s="200"/>
      <c r="B16" s="201"/>
      <c r="C16" s="202"/>
      <c r="D16" s="202"/>
      <c r="E16" s="202"/>
      <c r="F16" s="202"/>
      <c r="G16" s="202"/>
      <c r="H16" s="202"/>
      <c r="I16" s="202"/>
      <c r="J16" s="202"/>
      <c r="K16" s="202"/>
      <c r="L16" s="203"/>
    </row>
    <row r="17" spans="1:16" s="12" customFormat="1" x14ac:dyDescent="0.25">
      <c r="A17" s="14"/>
      <c r="B17" s="672" t="str">
        <f>IF(Intro!$G$21="English",O17,P17)</f>
        <v>Si non, expliquez.</v>
      </c>
      <c r="C17" s="673"/>
      <c r="D17" s="673"/>
      <c r="E17" s="673"/>
      <c r="F17" s="673"/>
      <c r="G17" s="673"/>
      <c r="H17" s="673"/>
      <c r="I17" s="673"/>
      <c r="J17" s="673"/>
      <c r="K17" s="673"/>
      <c r="L17" s="674"/>
      <c r="O17" s="177" t="s">
        <v>610</v>
      </c>
      <c r="P17" s="10" t="s">
        <v>611</v>
      </c>
    </row>
    <row r="18" spans="1:16" s="182" customFormat="1" x14ac:dyDescent="0.25">
      <c r="A18" s="204"/>
      <c r="B18" s="220"/>
      <c r="C18" s="221"/>
      <c r="D18" s="221"/>
      <c r="E18" s="221"/>
      <c r="F18" s="221"/>
      <c r="G18" s="221"/>
      <c r="H18" s="221"/>
      <c r="I18" s="221"/>
      <c r="J18" s="221"/>
      <c r="K18" s="221"/>
      <c r="L18" s="206"/>
      <c r="O18" s="178"/>
      <c r="P18" s="178"/>
    </row>
    <row r="19" spans="1:16" s="3" customFormat="1" x14ac:dyDescent="0.25">
      <c r="A19" s="15"/>
      <c r="B19" s="773"/>
      <c r="C19" s="774"/>
      <c r="D19" s="774"/>
      <c r="E19" s="774"/>
      <c r="F19" s="774"/>
      <c r="G19" s="774"/>
      <c r="H19" s="774"/>
      <c r="I19" s="774"/>
      <c r="J19" s="774"/>
      <c r="K19" s="774"/>
      <c r="L19" s="775"/>
      <c r="M19" s="182"/>
      <c r="O19" s="176"/>
      <c r="P19" s="176"/>
    </row>
    <row r="20" spans="1:16" s="3" customFormat="1" x14ac:dyDescent="0.25">
      <c r="A20" s="15"/>
      <c r="B20" s="773"/>
      <c r="C20" s="774"/>
      <c r="D20" s="774"/>
      <c r="E20" s="774"/>
      <c r="F20" s="774"/>
      <c r="G20" s="774"/>
      <c r="H20" s="774"/>
      <c r="I20" s="774"/>
      <c r="J20" s="774"/>
      <c r="K20" s="774"/>
      <c r="L20" s="775"/>
      <c r="M20" s="182"/>
      <c r="O20" s="176"/>
      <c r="P20" s="176"/>
    </row>
    <row r="21" spans="1:16" s="3" customFormat="1" x14ac:dyDescent="0.25">
      <c r="A21" s="15"/>
      <c r="B21" s="773"/>
      <c r="C21" s="774"/>
      <c r="D21" s="774"/>
      <c r="E21" s="774"/>
      <c r="F21" s="774"/>
      <c r="G21" s="774"/>
      <c r="H21" s="774"/>
      <c r="I21" s="774"/>
      <c r="J21" s="774"/>
      <c r="K21" s="774"/>
      <c r="L21" s="775"/>
      <c r="M21" s="182"/>
      <c r="O21" s="176"/>
      <c r="P21" s="176"/>
    </row>
    <row r="22" spans="1:16" s="3" customFormat="1" x14ac:dyDescent="0.25">
      <c r="A22" s="15"/>
      <c r="B22" s="773"/>
      <c r="C22" s="774"/>
      <c r="D22" s="774"/>
      <c r="E22" s="774"/>
      <c r="F22" s="774"/>
      <c r="G22" s="774"/>
      <c r="H22" s="774"/>
      <c r="I22" s="774"/>
      <c r="J22" s="774"/>
      <c r="K22" s="774"/>
      <c r="L22" s="775"/>
      <c r="M22" s="182"/>
      <c r="O22" s="176"/>
      <c r="P22" s="176"/>
    </row>
    <row r="23" spans="1:16" s="3" customFormat="1" x14ac:dyDescent="0.25">
      <c r="A23" s="15"/>
      <c r="B23" s="773"/>
      <c r="C23" s="774"/>
      <c r="D23" s="774"/>
      <c r="E23" s="774"/>
      <c r="F23" s="774"/>
      <c r="G23" s="774"/>
      <c r="H23" s="774"/>
      <c r="I23" s="774"/>
      <c r="J23" s="774"/>
      <c r="K23" s="774"/>
      <c r="L23" s="775"/>
      <c r="M23" s="182"/>
      <c r="O23" s="176"/>
      <c r="P23" s="176"/>
    </row>
    <row r="24" spans="1:16" s="3" customFormat="1" x14ac:dyDescent="0.25">
      <c r="A24" s="15"/>
      <c r="B24" s="773"/>
      <c r="C24" s="774"/>
      <c r="D24" s="774"/>
      <c r="E24" s="774"/>
      <c r="F24" s="774"/>
      <c r="G24" s="774"/>
      <c r="H24" s="774"/>
      <c r="I24" s="774"/>
      <c r="J24" s="774"/>
      <c r="K24" s="774"/>
      <c r="L24" s="775"/>
      <c r="M24" s="182"/>
      <c r="O24" s="176"/>
      <c r="P24" s="176"/>
    </row>
    <row r="25" spans="1:16" s="3" customFormat="1" x14ac:dyDescent="0.25">
      <c r="A25" s="15"/>
      <c r="B25" s="773"/>
      <c r="C25" s="774"/>
      <c r="D25" s="774"/>
      <c r="E25" s="774"/>
      <c r="F25" s="774"/>
      <c r="G25" s="774"/>
      <c r="H25" s="774"/>
      <c r="I25" s="774"/>
      <c r="J25" s="774"/>
      <c r="K25" s="774"/>
      <c r="L25" s="775"/>
      <c r="M25" s="182"/>
      <c r="O25" s="176"/>
      <c r="P25" s="176"/>
    </row>
    <row r="26" spans="1:16" s="3" customFormat="1" x14ac:dyDescent="0.25">
      <c r="A26" s="15"/>
      <c r="B26" s="773"/>
      <c r="C26" s="774"/>
      <c r="D26" s="774"/>
      <c r="E26" s="774"/>
      <c r="F26" s="774"/>
      <c r="G26" s="774"/>
      <c r="H26" s="774"/>
      <c r="I26" s="774"/>
      <c r="J26" s="774"/>
      <c r="K26" s="774"/>
      <c r="L26" s="775"/>
      <c r="M26" s="182"/>
      <c r="O26" s="176"/>
      <c r="P26" s="176"/>
    </row>
    <row r="27" spans="1:16" s="157" customFormat="1" x14ac:dyDescent="0.25">
      <c r="A27" s="200"/>
      <c r="B27" s="201"/>
      <c r="C27" s="202"/>
      <c r="D27" s="202"/>
      <c r="E27" s="202"/>
      <c r="F27" s="202"/>
      <c r="G27" s="202"/>
      <c r="H27" s="202"/>
      <c r="I27" s="202"/>
      <c r="J27" s="202"/>
      <c r="K27" s="202"/>
      <c r="L27" s="203"/>
    </row>
    <row r="28" spans="1:16" x14ac:dyDescent="0.25">
      <c r="B28" s="703" t="str">
        <f>IF(Intro!$G$21="English",O28,P28)</f>
        <v>PRODUCTION ET VENTES</v>
      </c>
      <c r="C28" s="704"/>
      <c r="D28" s="704"/>
      <c r="E28" s="704"/>
      <c r="F28" s="704"/>
      <c r="G28" s="704"/>
      <c r="H28" s="704"/>
      <c r="I28" s="704"/>
      <c r="J28" s="704"/>
      <c r="K28" s="704"/>
      <c r="L28" s="705"/>
      <c r="M28" s="157"/>
      <c r="O28" s="257" t="s">
        <v>709</v>
      </c>
      <c r="P28" s="257" t="s">
        <v>710</v>
      </c>
    </row>
    <row r="29" spans="1:16" s="157" customFormat="1" x14ac:dyDescent="0.25">
      <c r="A29" s="200"/>
      <c r="B29" s="201"/>
      <c r="C29" s="202"/>
      <c r="D29" s="202"/>
      <c r="E29" s="202"/>
      <c r="F29" s="202"/>
      <c r="G29" s="202"/>
      <c r="H29" s="202"/>
      <c r="I29" s="202"/>
      <c r="J29" s="202"/>
      <c r="K29" s="202"/>
      <c r="L29" s="203"/>
    </row>
    <row r="30" spans="1:16" s="157" customFormat="1" x14ac:dyDescent="0.25">
      <c r="A30" s="200"/>
      <c r="B30" s="672" t="str">
        <f>IF(Intro!$G$21="English",O30,P30)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673"/>
      <c r="D30" s="673"/>
      <c r="E30" s="673"/>
      <c r="F30" s="673"/>
      <c r="G30" s="673"/>
      <c r="H30" s="673"/>
      <c r="I30" s="673"/>
      <c r="J30" s="673"/>
      <c r="K30" s="673"/>
      <c r="L30" s="674"/>
      <c r="O30" s="157" t="s">
        <v>350</v>
      </c>
      <c r="P30" s="157" t="s">
        <v>351</v>
      </c>
    </row>
    <row r="31" spans="1:16" s="157" customFormat="1" x14ac:dyDescent="0.25">
      <c r="A31" s="200"/>
      <c r="B31" s="672"/>
      <c r="C31" s="673"/>
      <c r="D31" s="673"/>
      <c r="E31" s="673"/>
      <c r="F31" s="673"/>
      <c r="G31" s="673"/>
      <c r="H31" s="673"/>
      <c r="I31" s="673"/>
      <c r="J31" s="673"/>
      <c r="K31" s="673"/>
      <c r="L31" s="674"/>
    </row>
    <row r="32" spans="1:16" s="157" customFormat="1" x14ac:dyDescent="0.25">
      <c r="A32" s="200"/>
      <c r="B32" s="201"/>
      <c r="C32" s="202"/>
      <c r="D32" s="202"/>
      <c r="E32" s="202"/>
      <c r="F32" s="202"/>
      <c r="G32" s="202"/>
      <c r="H32" s="202"/>
      <c r="I32" s="202"/>
      <c r="J32" s="202"/>
      <c r="K32" s="202"/>
      <c r="L32" s="203"/>
    </row>
    <row r="33" spans="1:16" s="12" customFormat="1" x14ac:dyDescent="0.25">
      <c r="A33" s="14"/>
      <c r="B33" s="186"/>
      <c r="E33" s="851">
        <f>Variables!B6</f>
        <v>2022</v>
      </c>
      <c r="F33" s="851">
        <f>E33+1</f>
        <v>2023</v>
      </c>
      <c r="G33" s="851">
        <f>F33+1</f>
        <v>2024</v>
      </c>
      <c r="H33" s="851" t="str">
        <f>IF(Intro!$G$21="English",Variables!B9,Variables!C9)</f>
        <v>janv-sept 2024</v>
      </c>
      <c r="I33" s="851" t="str">
        <f>IF(Intro!$G$21="English",Variables!B10,Variables!C10)</f>
        <v>janv-sept 2025</v>
      </c>
      <c r="J33" s="210"/>
      <c r="K33" s="210"/>
      <c r="L33" s="211"/>
      <c r="O33" s="13"/>
    </row>
    <row r="34" spans="1:16" s="12" customFormat="1" x14ac:dyDescent="0.25">
      <c r="A34" s="14"/>
      <c r="B34" s="304"/>
      <c r="E34" s="852"/>
      <c r="F34" s="852"/>
      <c r="G34" s="852"/>
      <c r="H34" s="852"/>
      <c r="I34" s="852"/>
      <c r="J34" s="210"/>
      <c r="K34" s="210"/>
      <c r="L34" s="211"/>
      <c r="O34" s="13"/>
    </row>
    <row r="35" spans="1:16" s="182" customFormat="1" x14ac:dyDescent="0.25">
      <c r="A35" s="204"/>
      <c r="B35" s="783" t="str">
        <f>IF(Intro!$G$21="English",O35,P35)</f>
        <v>Production</v>
      </c>
      <c r="C35" s="784"/>
      <c r="D35" s="784"/>
      <c r="E35" s="300" t="str">
        <f>IF('Pro 1'!G25&lt;&gt;0,"X","-")</f>
        <v>-</v>
      </c>
      <c r="F35" s="300" t="str">
        <f>IF('Pro 1'!H25&lt;&gt;0,"X","-")</f>
        <v>-</v>
      </c>
      <c r="G35" s="300" t="str">
        <f>IF('Pro 1'!I25&lt;&gt;0,"X","-")</f>
        <v>-</v>
      </c>
      <c r="H35" s="300" t="str">
        <f>IF('Pro 1'!J25&lt;&gt;0,"X","-")</f>
        <v>-</v>
      </c>
      <c r="I35" s="300" t="str">
        <f>IF('Pro 1'!K25&lt;&gt;0,"X","-")</f>
        <v>-</v>
      </c>
      <c r="J35" s="210"/>
      <c r="K35" s="210"/>
      <c r="L35" s="211"/>
      <c r="O35" s="182" t="s">
        <v>40</v>
      </c>
      <c r="P35" s="182" t="s">
        <v>40</v>
      </c>
    </row>
    <row r="36" spans="1:16" s="182" customFormat="1" x14ac:dyDescent="0.25">
      <c r="A36" s="204"/>
      <c r="B36" s="783" t="str">
        <f>'Pro 2'!B29</f>
        <v>Ventes aux distributeurs au Canada</v>
      </c>
      <c r="C36" s="784"/>
      <c r="D36" s="784"/>
      <c r="E36" s="300" t="str">
        <f>IF(ISNUMBER('Pro 2'!H29),"X","-")</f>
        <v>-</v>
      </c>
      <c r="F36" s="300" t="str">
        <f>IF(ISNUMBER('Pro 2'!I29),"X","-")</f>
        <v>-</v>
      </c>
      <c r="G36" s="300" t="str">
        <f>IF(ISNUMBER('Pro 2'!J29),"X","-")</f>
        <v>-</v>
      </c>
      <c r="H36" s="300" t="str">
        <f>IF(ISNUMBER('Pro 2'!K29),"X","-")</f>
        <v>-</v>
      </c>
      <c r="I36" s="300" t="str">
        <f>IF(ISNUMBER('Pro 2'!L29),"X","-")</f>
        <v>-</v>
      </c>
      <c r="J36" s="210"/>
      <c r="K36" s="210"/>
      <c r="L36" s="211"/>
    </row>
    <row r="37" spans="1:16" s="182" customFormat="1" x14ac:dyDescent="0.25">
      <c r="A37" s="204"/>
      <c r="B37" s="783" t="str">
        <f>'Pro 2'!B32</f>
        <v>Ventes aux utilisateurs finals au Canada</v>
      </c>
      <c r="C37" s="784"/>
      <c r="D37" s="784"/>
      <c r="E37" s="300" t="str">
        <f>IF(ISNUMBER('Pro 2'!H32),"X","-")</f>
        <v>-</v>
      </c>
      <c r="F37" s="300" t="str">
        <f>IF(ISNUMBER('Pro 2'!I32),"X","-")</f>
        <v>-</v>
      </c>
      <c r="G37" s="300" t="str">
        <f>IF(ISNUMBER('Pro 2'!J32),"X","-")</f>
        <v>-</v>
      </c>
      <c r="H37" s="300" t="str">
        <f>IF(ISNUMBER('Pro 2'!K32),"X","-")</f>
        <v>-</v>
      </c>
      <c r="I37" s="300" t="str">
        <f>IF(ISNUMBER('Pro 2'!L32),"X","-")</f>
        <v>-</v>
      </c>
      <c r="J37" s="210"/>
      <c r="K37" s="210"/>
      <c r="L37" s="211"/>
    </row>
    <row r="38" spans="1:16" s="182" customFormat="1" x14ac:dyDescent="0.25">
      <c r="A38" s="204"/>
      <c r="B38" s="783" t="str">
        <f>'Pro 2'!B35</f>
        <v>Ventes aux détaillants au Canada</v>
      </c>
      <c r="C38" s="784"/>
      <c r="D38" s="784"/>
      <c r="E38" s="300" t="str">
        <f>IF(ISNUMBER('Pro 2'!H35),"X","-")</f>
        <v>-</v>
      </c>
      <c r="F38" s="300" t="str">
        <f>IF(ISNUMBER('Pro 2'!I35),"X","-")</f>
        <v>-</v>
      </c>
      <c r="G38" s="300" t="str">
        <f>IF(ISNUMBER('Pro 2'!J35),"X","-")</f>
        <v>-</v>
      </c>
      <c r="H38" s="300" t="str">
        <f>IF(ISNUMBER('Pro 2'!K35),"X","-")</f>
        <v>-</v>
      </c>
      <c r="I38" s="300" t="str">
        <f>IF(ISNUMBER('Pro 2'!L35),"X","-")</f>
        <v>-</v>
      </c>
      <c r="J38" s="210"/>
      <c r="K38" s="210"/>
      <c r="L38" s="211"/>
    </row>
    <row r="39" spans="1:16" s="182" customFormat="1" x14ac:dyDescent="0.25">
      <c r="A39" s="204"/>
      <c r="B39" s="783" t="str">
        <f>'Pro 2'!B41</f>
        <v>Ventes à l'exportation</v>
      </c>
      <c r="C39" s="784"/>
      <c r="D39" s="784"/>
      <c r="E39" s="300" t="str">
        <f>IF(ISNUMBER('Pro 2'!H41),"X","-")</f>
        <v>-</v>
      </c>
      <c r="F39" s="300" t="str">
        <f>IF(ISNUMBER('Pro 2'!I41),"X","-")</f>
        <v>-</v>
      </c>
      <c r="G39" s="300" t="str">
        <f>IF(ISNUMBER('Pro 2'!J41),"X","-")</f>
        <v>-</v>
      </c>
      <c r="H39" s="300" t="str">
        <f>IF(ISNUMBER('Pro 2'!K41),"X","-")</f>
        <v>-</v>
      </c>
      <c r="I39" s="300" t="str">
        <f>IF(ISNUMBER('Pro 2'!L41),"X","-")</f>
        <v>-</v>
      </c>
      <c r="J39" s="210"/>
      <c r="K39" s="210"/>
      <c r="L39" s="211"/>
    </row>
    <row r="40" spans="1:16" s="157" customFormat="1" x14ac:dyDescent="0.25">
      <c r="A40" s="200"/>
      <c r="B40" s="207"/>
      <c r="C40" s="208"/>
      <c r="D40" s="208"/>
      <c r="E40" s="208"/>
      <c r="F40" s="208"/>
      <c r="G40" s="208"/>
      <c r="H40" s="208"/>
      <c r="I40" s="208"/>
      <c r="J40" s="208"/>
      <c r="K40" s="208"/>
      <c r="L40" s="209"/>
    </row>
    <row r="41" spans="1:16" x14ac:dyDescent="0.25">
      <c r="B41" s="678" t="str">
        <f>'Pro 4'!B12</f>
        <v>EFFETS NÉGATIFS DES IMPORTATIONS</v>
      </c>
      <c r="C41" s="679"/>
      <c r="D41" s="679"/>
      <c r="E41" s="679"/>
      <c r="F41" s="679"/>
      <c r="G41" s="679"/>
      <c r="H41" s="679"/>
      <c r="I41" s="679"/>
      <c r="J41" s="679"/>
      <c r="K41" s="679"/>
      <c r="L41" s="680"/>
      <c r="M41" s="157"/>
    </row>
    <row r="42" spans="1:16" s="157" customFormat="1" x14ac:dyDescent="0.25">
      <c r="A42" s="200"/>
      <c r="B42" s="201"/>
      <c r="C42" s="202"/>
      <c r="D42" s="202"/>
      <c r="E42" s="202"/>
      <c r="F42" s="202"/>
      <c r="G42" s="202"/>
      <c r="H42" s="202"/>
      <c r="I42" s="202"/>
      <c r="J42" s="202"/>
      <c r="K42" s="202"/>
      <c r="L42" s="203"/>
    </row>
    <row r="43" spans="1:16" s="157" customFormat="1" x14ac:dyDescent="0.25">
      <c r="A43" s="200"/>
      <c r="B43" s="672" t="str">
        <f>IF(Intro!$G$21="English",O43,P43)</f>
        <v>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v>
      </c>
      <c r="C43" s="673"/>
      <c r="D43" s="673"/>
      <c r="E43" s="673"/>
      <c r="F43" s="673"/>
      <c r="G43" s="673"/>
      <c r="H43" s="673"/>
      <c r="I43" s="673"/>
      <c r="J43" s="673"/>
      <c r="K43" s="673"/>
      <c r="L43" s="674"/>
      <c r="O43" s="157" t="s">
        <v>411</v>
      </c>
      <c r="P43" s="157" t="s">
        <v>412</v>
      </c>
    </row>
    <row r="44" spans="1:16" s="157" customFormat="1" x14ac:dyDescent="0.25">
      <c r="A44" s="200"/>
      <c r="B44" s="672"/>
      <c r="C44" s="673"/>
      <c r="D44" s="673"/>
      <c r="E44" s="673"/>
      <c r="F44" s="673"/>
      <c r="G44" s="673"/>
      <c r="H44" s="673"/>
      <c r="I44" s="673"/>
      <c r="J44" s="673"/>
      <c r="K44" s="673"/>
      <c r="L44" s="674"/>
    </row>
    <row r="45" spans="1:16" s="157" customFormat="1" x14ac:dyDescent="0.25">
      <c r="A45" s="200"/>
      <c r="B45" s="672"/>
      <c r="C45" s="673"/>
      <c r="D45" s="673"/>
      <c r="E45" s="673"/>
      <c r="F45" s="673"/>
      <c r="G45" s="673"/>
      <c r="H45" s="673"/>
      <c r="I45" s="673"/>
      <c r="J45" s="673"/>
      <c r="K45" s="673"/>
      <c r="L45" s="674"/>
    </row>
    <row r="46" spans="1:16" s="12" customFormat="1" x14ac:dyDescent="0.25">
      <c r="A46" s="14"/>
      <c r="B46" s="261"/>
      <c r="C46" s="33"/>
      <c r="D46" s="33"/>
      <c r="E46" s="33"/>
      <c r="F46" s="33"/>
      <c r="G46" s="33"/>
      <c r="H46" s="33"/>
      <c r="I46" s="33"/>
      <c r="J46" s="33"/>
      <c r="K46" s="33"/>
      <c r="L46" s="34"/>
      <c r="O46" s="13"/>
    </row>
    <row r="47" spans="1:16" s="12" customFormat="1" x14ac:dyDescent="0.25">
      <c r="A47" s="14"/>
      <c r="B47" s="324" t="str">
        <f>'Pro 4'!B155</f>
        <v>Allegation</v>
      </c>
      <c r="C47" s="951">
        <v>1</v>
      </c>
      <c r="D47" s="951"/>
      <c r="E47" s="951">
        <v>2</v>
      </c>
      <c r="F47" s="951">
        <v>4</v>
      </c>
      <c r="G47" s="951">
        <v>3</v>
      </c>
      <c r="H47" s="951">
        <v>6</v>
      </c>
      <c r="I47" s="951">
        <v>4</v>
      </c>
      <c r="J47" s="951">
        <v>8</v>
      </c>
      <c r="K47" s="951">
        <v>5</v>
      </c>
      <c r="L47" s="952">
        <v>10</v>
      </c>
      <c r="O47" s="13"/>
    </row>
    <row r="48" spans="1:16" s="25" customFormat="1" x14ac:dyDescent="0.25">
      <c r="A48" s="24"/>
      <c r="B48" s="840" t="str">
        <f>'Pro 4'!B156</f>
        <v>Renseignements généraux</v>
      </c>
      <c r="C48" s="841"/>
      <c r="D48" s="841"/>
      <c r="E48" s="841"/>
      <c r="F48" s="841"/>
      <c r="G48" s="841"/>
      <c r="H48" s="841"/>
      <c r="I48" s="841"/>
      <c r="J48" s="841"/>
      <c r="K48" s="841"/>
      <c r="L48" s="842"/>
      <c r="O48" s="4"/>
    </row>
    <row r="49" spans="1:17" s="157" customFormat="1" x14ac:dyDescent="0.25">
      <c r="A49" s="200"/>
      <c r="B49" s="650" t="str">
        <f>'Pro 4'!B163</f>
        <v>Nature du dommage allégué (P)</v>
      </c>
      <c r="C49" s="946" t="str">
        <f>IF('Pro 4'!C163="","-",'Pro 4'!C163)</f>
        <v>-</v>
      </c>
      <c r="D49" s="946"/>
      <c r="E49" s="946" t="str">
        <f>IF('Pro 4'!E163="","-",'Pro 4'!E163)</f>
        <v>-</v>
      </c>
      <c r="F49" s="946"/>
      <c r="G49" s="946" t="str">
        <f>IF('Pro 4'!G163="","-",'Pro 4'!G163)</f>
        <v>-</v>
      </c>
      <c r="H49" s="946"/>
      <c r="I49" s="946" t="str">
        <f>IF('Pro 4'!I163="","-",'Pro 4'!I163)</f>
        <v>-</v>
      </c>
      <c r="J49" s="946"/>
      <c r="K49" s="946" t="str">
        <f>IF('Pro 4'!K163="","-",'Pro 4'!K163)</f>
        <v>-</v>
      </c>
      <c r="L49" s="947"/>
    </row>
    <row r="50" spans="1:17" s="157" customFormat="1" x14ac:dyDescent="0.25">
      <c r="A50" s="200"/>
      <c r="B50" s="650"/>
      <c r="C50" s="946"/>
      <c r="D50" s="946"/>
      <c r="E50" s="946"/>
      <c r="F50" s="946"/>
      <c r="G50" s="946"/>
      <c r="H50" s="946"/>
      <c r="I50" s="946"/>
      <c r="J50" s="946"/>
      <c r="K50" s="946"/>
      <c r="L50" s="947"/>
    </row>
    <row r="51" spans="1:17" s="157" customFormat="1" x14ac:dyDescent="0.25">
      <c r="A51" s="200"/>
      <c r="B51" s="650"/>
      <c r="C51" s="946"/>
      <c r="D51" s="946"/>
      <c r="E51" s="946"/>
      <c r="F51" s="946"/>
      <c r="G51" s="946"/>
      <c r="H51" s="946"/>
      <c r="I51" s="946"/>
      <c r="J51" s="946"/>
      <c r="K51" s="946"/>
      <c r="L51" s="947"/>
    </row>
    <row r="52" spans="1:17" s="25" customFormat="1" x14ac:dyDescent="0.25">
      <c r="A52" s="200"/>
      <c r="B52" s="840" t="str">
        <f>'Pro 4'!B166</f>
        <v>Offre du producteur national</v>
      </c>
      <c r="C52" s="841"/>
      <c r="D52" s="841"/>
      <c r="E52" s="841"/>
      <c r="F52" s="841"/>
      <c r="G52" s="841"/>
      <c r="H52" s="841"/>
      <c r="I52" s="841"/>
      <c r="J52" s="841"/>
      <c r="K52" s="841"/>
      <c r="L52" s="842"/>
      <c r="O52" s="4"/>
      <c r="P52" s="4"/>
      <c r="Q52" s="4"/>
    </row>
    <row r="53" spans="1:17" s="157" customFormat="1" x14ac:dyDescent="0.25">
      <c r="A53" s="200"/>
      <c r="B53" s="650" t="str">
        <f>'Pro 4'!B167</f>
        <v>Description du produit (P)</v>
      </c>
      <c r="C53" s="946" t="str">
        <f>IF('Pro 4'!C167="","-",'Pro 4'!C167)</f>
        <v>-</v>
      </c>
      <c r="D53" s="946"/>
      <c r="E53" s="946" t="str">
        <f>IF('Pro 4'!E167="","-",'Pro 4'!E167)</f>
        <v>-</v>
      </c>
      <c r="F53" s="946"/>
      <c r="G53" s="946" t="str">
        <f>IF('Pro 4'!G167="","-",'Pro 4'!G167)</f>
        <v>-</v>
      </c>
      <c r="H53" s="946"/>
      <c r="I53" s="946" t="str">
        <f>IF('Pro 4'!I167="","-",'Pro 4'!I167)</f>
        <v>-</v>
      </c>
      <c r="J53" s="946"/>
      <c r="K53" s="946" t="str">
        <f>IF('Pro 4'!K167="","-",'Pro 4'!K167)</f>
        <v>-</v>
      </c>
      <c r="L53" s="947"/>
    </row>
    <row r="54" spans="1:17" s="157" customFormat="1" x14ac:dyDescent="0.25">
      <c r="A54" s="200"/>
      <c r="B54" s="650"/>
      <c r="C54" s="946"/>
      <c r="D54" s="946"/>
      <c r="E54" s="946"/>
      <c r="F54" s="946"/>
      <c r="G54" s="946"/>
      <c r="H54" s="946"/>
      <c r="I54" s="946"/>
      <c r="J54" s="946"/>
      <c r="K54" s="946"/>
      <c r="L54" s="947"/>
    </row>
    <row r="55" spans="1:17" s="157" customFormat="1" x14ac:dyDescent="0.25">
      <c r="A55" s="200"/>
      <c r="B55" s="650"/>
      <c r="C55" s="946"/>
      <c r="D55" s="946"/>
      <c r="E55" s="946"/>
      <c r="F55" s="946"/>
      <c r="G55" s="946"/>
      <c r="H55" s="946"/>
      <c r="I55" s="946"/>
      <c r="J55" s="946"/>
      <c r="K55" s="946"/>
      <c r="L55" s="947"/>
    </row>
    <row r="56" spans="1:17" s="157" customFormat="1" x14ac:dyDescent="0.25">
      <c r="A56" s="200"/>
      <c r="B56" s="650"/>
      <c r="C56" s="946"/>
      <c r="D56" s="946"/>
      <c r="E56" s="946"/>
      <c r="F56" s="946"/>
      <c r="G56" s="946"/>
      <c r="H56" s="946"/>
      <c r="I56" s="946"/>
      <c r="J56" s="946"/>
      <c r="K56" s="946"/>
      <c r="L56" s="947"/>
    </row>
    <row r="57" spans="1:17" s="157" customFormat="1" x14ac:dyDescent="0.25">
      <c r="A57" s="200"/>
      <c r="B57" s="650" t="str">
        <f>'Pro 4'!B171</f>
        <v>Date de la transaction (P)</v>
      </c>
      <c r="C57" s="946" t="str">
        <f>IF('Pro 4'!C171="","-",'Pro 4'!C171)</f>
        <v>-</v>
      </c>
      <c r="D57" s="946"/>
      <c r="E57" s="946" t="str">
        <f>IF('Pro 4'!E171="","-",'Pro 4'!E171)</f>
        <v>-</v>
      </c>
      <c r="F57" s="946"/>
      <c r="G57" s="946" t="str">
        <f>IF('Pro 4'!G171="","-",'Pro 4'!G171)</f>
        <v>-</v>
      </c>
      <c r="H57" s="946"/>
      <c r="I57" s="946" t="str">
        <f>IF('Pro 4'!I171="","-",'Pro 4'!I171)</f>
        <v>-</v>
      </c>
      <c r="J57" s="946"/>
      <c r="K57" s="946" t="str">
        <f>IF('Pro 4'!K171="","-",'Pro 4'!K171)</f>
        <v>-</v>
      </c>
      <c r="L57" s="947"/>
    </row>
    <row r="58" spans="1:17" s="157" customFormat="1" ht="39" customHeight="1" x14ac:dyDescent="0.25">
      <c r="A58" s="200"/>
      <c r="B58" s="650"/>
      <c r="C58" s="946"/>
      <c r="D58" s="946"/>
      <c r="E58" s="946"/>
      <c r="F58" s="946"/>
      <c r="G58" s="946"/>
      <c r="H58" s="946"/>
      <c r="I58" s="946"/>
      <c r="J58" s="946"/>
      <c r="K58" s="946"/>
      <c r="L58" s="947"/>
    </row>
    <row r="59" spans="1:17" s="25" customFormat="1" x14ac:dyDescent="0.25">
      <c r="A59" s="200"/>
      <c r="B59" s="840" t="str">
        <f>'Pro 4'!B182</f>
        <v>Offre du concurrent</v>
      </c>
      <c r="C59" s="841"/>
      <c r="D59" s="841"/>
      <c r="E59" s="841"/>
      <c r="F59" s="841"/>
      <c r="G59" s="841"/>
      <c r="H59" s="841"/>
      <c r="I59" s="841"/>
      <c r="J59" s="841"/>
      <c r="K59" s="841"/>
      <c r="L59" s="842"/>
      <c r="O59" s="4"/>
    </row>
    <row r="60" spans="1:17" s="157" customFormat="1" x14ac:dyDescent="0.25">
      <c r="A60" s="200"/>
      <c r="B60" s="650" t="str">
        <f>'Pro 4'!B185</f>
        <v>Description du produit (P)</v>
      </c>
      <c r="C60" s="946" t="str">
        <f>IF('Pro 4'!C185="","-",'Pro 4'!C185)</f>
        <v>-</v>
      </c>
      <c r="D60" s="946"/>
      <c r="E60" s="946" t="str">
        <f>IF('Pro 4'!E185="","-",'Pro 4'!E185)</f>
        <v>-</v>
      </c>
      <c r="F60" s="946"/>
      <c r="G60" s="946" t="str">
        <f>IF('Pro 4'!G185="","-",'Pro 4'!G185)</f>
        <v>-</v>
      </c>
      <c r="H60" s="946"/>
      <c r="I60" s="946" t="str">
        <f>IF('Pro 4'!I185="","-",'Pro 4'!I185)</f>
        <v>-</v>
      </c>
      <c r="J60" s="946"/>
      <c r="K60" s="946" t="str">
        <f>IF('Pro 4'!K185="","-",'Pro 4'!K185)</f>
        <v>-</v>
      </c>
      <c r="L60" s="947"/>
    </row>
    <row r="61" spans="1:17" s="157" customFormat="1" x14ac:dyDescent="0.25">
      <c r="A61" s="200"/>
      <c r="B61" s="650"/>
      <c r="C61" s="946"/>
      <c r="D61" s="946"/>
      <c r="E61" s="946"/>
      <c r="F61" s="946"/>
      <c r="G61" s="946"/>
      <c r="H61" s="946"/>
      <c r="I61" s="946"/>
      <c r="J61" s="946"/>
      <c r="K61" s="946"/>
      <c r="L61" s="947"/>
    </row>
    <row r="62" spans="1:17" s="157" customFormat="1" x14ac:dyDescent="0.25">
      <c r="A62" s="200"/>
      <c r="B62" s="650"/>
      <c r="C62" s="946"/>
      <c r="D62" s="946"/>
      <c r="E62" s="946"/>
      <c r="F62" s="946"/>
      <c r="G62" s="946"/>
      <c r="H62" s="946"/>
      <c r="I62" s="946"/>
      <c r="J62" s="946"/>
      <c r="K62" s="946"/>
      <c r="L62" s="947"/>
    </row>
    <row r="63" spans="1:17" s="157" customFormat="1" x14ac:dyDescent="0.25">
      <c r="A63" s="200"/>
      <c r="B63" s="650"/>
      <c r="C63" s="946"/>
      <c r="D63" s="946"/>
      <c r="E63" s="946"/>
      <c r="F63" s="946"/>
      <c r="G63" s="946"/>
      <c r="H63" s="946"/>
      <c r="I63" s="946"/>
      <c r="J63" s="946"/>
      <c r="K63" s="946"/>
      <c r="L63" s="947"/>
    </row>
    <row r="64" spans="1:17" s="157" customFormat="1" x14ac:dyDescent="0.25">
      <c r="A64" s="200"/>
      <c r="B64" s="682" t="str">
        <f>'Pro 4'!B189</f>
        <v>Pays d'origine (P)</v>
      </c>
      <c r="C64" s="942" t="str">
        <f>IF('Pro 4'!C189="","-",'Pro 4'!C189)</f>
        <v>-</v>
      </c>
      <c r="D64" s="942"/>
      <c r="E64" s="942" t="str">
        <f>IF('Pro 4'!E189="","-",'Pro 4'!E189)</f>
        <v>-</v>
      </c>
      <c r="F64" s="942"/>
      <c r="G64" s="942" t="str">
        <f>IF('Pro 4'!G189="","-",'Pro 4'!G189)</f>
        <v>-</v>
      </c>
      <c r="H64" s="942"/>
      <c r="I64" s="942" t="str">
        <f>IF('Pro 4'!I189="","-",'Pro 4'!I189)</f>
        <v>-</v>
      </c>
      <c r="J64" s="942"/>
      <c r="K64" s="942" t="str">
        <f>IF('Pro 4'!K189="","-",'Pro 4'!K189)</f>
        <v>-</v>
      </c>
      <c r="L64" s="944"/>
    </row>
    <row r="65" spans="1:17" s="157" customFormat="1" x14ac:dyDescent="0.25">
      <c r="A65" s="200"/>
      <c r="B65" s="686"/>
      <c r="C65" s="943"/>
      <c r="D65" s="943"/>
      <c r="E65" s="943"/>
      <c r="F65" s="943"/>
      <c r="G65" s="943"/>
      <c r="H65" s="943"/>
      <c r="I65" s="943"/>
      <c r="J65" s="943"/>
      <c r="K65" s="943"/>
      <c r="L65" s="945"/>
    </row>
    <row r="66" spans="1:17" s="12" customFormat="1" x14ac:dyDescent="0.25">
      <c r="A66" s="200"/>
      <c r="B66" s="325"/>
      <c r="C66" s="259"/>
      <c r="D66" s="259"/>
      <c r="E66" s="259"/>
      <c r="F66" s="259"/>
      <c r="G66" s="259"/>
      <c r="H66" s="259"/>
      <c r="I66" s="259"/>
      <c r="J66" s="259"/>
      <c r="K66" s="259"/>
      <c r="L66" s="260"/>
      <c r="O66" s="13"/>
    </row>
    <row r="67" spans="1:17" s="12" customFormat="1" x14ac:dyDescent="0.25">
      <c r="A67" s="200"/>
      <c r="B67" s="324" t="str">
        <f>B47</f>
        <v>Allegation</v>
      </c>
      <c r="C67" s="951">
        <v>6</v>
      </c>
      <c r="D67" s="951"/>
      <c r="E67" s="951">
        <v>7</v>
      </c>
      <c r="F67" s="951">
        <v>4</v>
      </c>
      <c r="G67" s="951">
        <v>8</v>
      </c>
      <c r="H67" s="951">
        <v>6</v>
      </c>
      <c r="I67" s="951">
        <v>9</v>
      </c>
      <c r="J67" s="951">
        <v>8</v>
      </c>
      <c r="K67" s="951">
        <v>10</v>
      </c>
      <c r="L67" s="952">
        <v>10</v>
      </c>
      <c r="O67" s="13"/>
    </row>
    <row r="68" spans="1:17" s="25" customFormat="1" x14ac:dyDescent="0.25">
      <c r="A68" s="24"/>
      <c r="B68" s="948" t="str">
        <f>B48</f>
        <v>Renseignements généraux</v>
      </c>
      <c r="C68" s="949"/>
      <c r="D68" s="949"/>
      <c r="E68" s="949"/>
      <c r="F68" s="949"/>
      <c r="G68" s="949"/>
      <c r="H68" s="949"/>
      <c r="I68" s="949"/>
      <c r="J68" s="949"/>
      <c r="K68" s="949"/>
      <c r="L68" s="950"/>
      <c r="O68" s="4"/>
    </row>
    <row r="69" spans="1:17" s="157" customFormat="1" x14ac:dyDescent="0.25">
      <c r="A69" s="200"/>
      <c r="B69" s="650" t="str">
        <f>B49</f>
        <v>Nature du dommage allégué (P)</v>
      </c>
      <c r="C69" s="946" t="str">
        <f>IF('Pro 4'!C208="","-",'Pro 4'!C208)</f>
        <v>-</v>
      </c>
      <c r="D69" s="946"/>
      <c r="E69" s="946" t="str">
        <f>IF('Pro 4'!E208="","-",'Pro 4'!E208)</f>
        <v>-</v>
      </c>
      <c r="F69" s="946"/>
      <c r="G69" s="946" t="str">
        <f>IF('Pro 4'!G208="","-",'Pro 4'!G208)</f>
        <v>-</v>
      </c>
      <c r="H69" s="946"/>
      <c r="I69" s="946" t="str">
        <f>IF('Pro 4'!I208="","-",'Pro 4'!I208)</f>
        <v>-</v>
      </c>
      <c r="J69" s="946"/>
      <c r="K69" s="946" t="str">
        <f>IF('Pro 4'!K208="","-",'Pro 4'!K208)</f>
        <v>-</v>
      </c>
      <c r="L69" s="947"/>
    </row>
    <row r="70" spans="1:17" s="157" customFormat="1" x14ac:dyDescent="0.25">
      <c r="A70" s="200"/>
      <c r="B70" s="650"/>
      <c r="C70" s="946"/>
      <c r="D70" s="946"/>
      <c r="E70" s="946"/>
      <c r="F70" s="946"/>
      <c r="G70" s="946"/>
      <c r="H70" s="946"/>
      <c r="I70" s="946"/>
      <c r="J70" s="946"/>
      <c r="K70" s="946"/>
      <c r="L70" s="947"/>
    </row>
    <row r="71" spans="1:17" s="157" customFormat="1" x14ac:dyDescent="0.25">
      <c r="A71" s="200"/>
      <c r="B71" s="650"/>
      <c r="C71" s="946"/>
      <c r="D71" s="946"/>
      <c r="E71" s="946"/>
      <c r="F71" s="946"/>
      <c r="G71" s="946"/>
      <c r="H71" s="946"/>
      <c r="I71" s="946"/>
      <c r="J71" s="946"/>
      <c r="K71" s="946"/>
      <c r="L71" s="947"/>
    </row>
    <row r="72" spans="1:17" s="25" customFormat="1" x14ac:dyDescent="0.25">
      <c r="A72" s="200"/>
      <c r="B72" s="840" t="str">
        <f>B52</f>
        <v>Offre du producteur national</v>
      </c>
      <c r="C72" s="841"/>
      <c r="D72" s="841"/>
      <c r="E72" s="841"/>
      <c r="F72" s="841"/>
      <c r="G72" s="841"/>
      <c r="H72" s="841"/>
      <c r="I72" s="841"/>
      <c r="J72" s="841"/>
      <c r="K72" s="841"/>
      <c r="L72" s="842"/>
      <c r="O72" s="4"/>
      <c r="P72" s="4"/>
      <c r="Q72" s="4"/>
    </row>
    <row r="73" spans="1:17" s="157" customFormat="1" x14ac:dyDescent="0.25">
      <c r="A73" s="200"/>
      <c r="B73" s="650" t="str">
        <f>B53</f>
        <v>Description du produit (P)</v>
      </c>
      <c r="C73" s="946" t="str">
        <f>IF('Pro 4'!C212="","-",'Pro 4'!C212)</f>
        <v>-</v>
      </c>
      <c r="D73" s="946"/>
      <c r="E73" s="946" t="str">
        <f>IF('Pro 4'!E212="","-",'Pro 4'!E212)</f>
        <v>-</v>
      </c>
      <c r="F73" s="946"/>
      <c r="G73" s="946" t="str">
        <f>IF('Pro 4'!G212="","-",'Pro 4'!G212)</f>
        <v>-</v>
      </c>
      <c r="H73" s="946"/>
      <c r="I73" s="946" t="str">
        <f>IF('Pro 4'!I212="","-",'Pro 4'!I212)</f>
        <v>-</v>
      </c>
      <c r="J73" s="946"/>
      <c r="K73" s="946" t="str">
        <f>IF('Pro 4'!K212="","-",'Pro 4'!K212)</f>
        <v>-</v>
      </c>
      <c r="L73" s="947"/>
    </row>
    <row r="74" spans="1:17" s="157" customFormat="1" x14ac:dyDescent="0.25">
      <c r="A74" s="200"/>
      <c r="B74" s="650"/>
      <c r="C74" s="946"/>
      <c r="D74" s="946"/>
      <c r="E74" s="946"/>
      <c r="F74" s="946"/>
      <c r="G74" s="946"/>
      <c r="H74" s="946"/>
      <c r="I74" s="946"/>
      <c r="J74" s="946"/>
      <c r="K74" s="946"/>
      <c r="L74" s="947"/>
    </row>
    <row r="75" spans="1:17" s="157" customFormat="1" x14ac:dyDescent="0.25">
      <c r="A75" s="200"/>
      <c r="B75" s="650"/>
      <c r="C75" s="946"/>
      <c r="D75" s="946"/>
      <c r="E75" s="946"/>
      <c r="F75" s="946"/>
      <c r="G75" s="946"/>
      <c r="H75" s="946"/>
      <c r="I75" s="946"/>
      <c r="J75" s="946"/>
      <c r="K75" s="946"/>
      <c r="L75" s="947"/>
    </row>
    <row r="76" spans="1:17" s="157" customFormat="1" x14ac:dyDescent="0.25">
      <c r="A76" s="200"/>
      <c r="B76" s="650"/>
      <c r="C76" s="946"/>
      <c r="D76" s="946"/>
      <c r="E76" s="946"/>
      <c r="F76" s="946"/>
      <c r="G76" s="946"/>
      <c r="H76" s="946"/>
      <c r="I76" s="946"/>
      <c r="J76" s="946"/>
      <c r="K76" s="946"/>
      <c r="L76" s="947"/>
    </row>
    <row r="77" spans="1:17" s="157" customFormat="1" x14ac:dyDescent="0.25">
      <c r="A77" s="200"/>
      <c r="B77" s="650" t="str">
        <f>B57</f>
        <v>Date de la transaction (P)</v>
      </c>
      <c r="C77" s="946" t="str">
        <f>IF('Pro 4'!C216="","-",'Pro 4'!C216)</f>
        <v>-</v>
      </c>
      <c r="D77" s="946"/>
      <c r="E77" s="946" t="str">
        <f>IF('Pro 4'!E216="","-",'Pro 4'!E216)</f>
        <v>-</v>
      </c>
      <c r="F77" s="946"/>
      <c r="G77" s="946" t="str">
        <f>IF('Pro 4'!G216="","-",'Pro 4'!G216)</f>
        <v>-</v>
      </c>
      <c r="H77" s="946"/>
      <c r="I77" s="946" t="str">
        <f>IF('Pro 4'!I216="","-",'Pro 4'!I216)</f>
        <v>-</v>
      </c>
      <c r="J77" s="946"/>
      <c r="K77" s="946" t="str">
        <f>IF('Pro 4'!K216="","-",'Pro 4'!K216)</f>
        <v>-</v>
      </c>
      <c r="L77" s="947"/>
    </row>
    <row r="78" spans="1:17" s="157" customFormat="1" ht="31.5" customHeight="1" x14ac:dyDescent="0.25">
      <c r="A78" s="200"/>
      <c r="B78" s="650"/>
      <c r="C78" s="946"/>
      <c r="D78" s="946"/>
      <c r="E78" s="946"/>
      <c r="F78" s="946"/>
      <c r="G78" s="946"/>
      <c r="H78" s="946"/>
      <c r="I78" s="946"/>
      <c r="J78" s="946"/>
      <c r="K78" s="946"/>
      <c r="L78" s="947"/>
    </row>
    <row r="79" spans="1:17" s="25" customFormat="1" x14ac:dyDescent="0.25">
      <c r="A79" s="200"/>
      <c r="B79" s="840" t="str">
        <f>B59</f>
        <v>Offre du concurrent</v>
      </c>
      <c r="C79" s="841"/>
      <c r="D79" s="841"/>
      <c r="E79" s="841"/>
      <c r="F79" s="841"/>
      <c r="G79" s="841"/>
      <c r="H79" s="841"/>
      <c r="I79" s="841"/>
      <c r="J79" s="841"/>
      <c r="K79" s="841"/>
      <c r="L79" s="842"/>
      <c r="O79" s="4"/>
    </row>
    <row r="80" spans="1:17" s="157" customFormat="1" x14ac:dyDescent="0.25">
      <c r="A80" s="200"/>
      <c r="B80" s="650" t="str">
        <f>B60</f>
        <v>Description du produit (P)</v>
      </c>
      <c r="C80" s="946" t="str">
        <f>IF('Pro 4'!C230="","-",'Pro 4'!C230)</f>
        <v>-</v>
      </c>
      <c r="D80" s="946"/>
      <c r="E80" s="946" t="str">
        <f>IF('Pro 4'!E230="","-",'Pro 4'!E230)</f>
        <v>-</v>
      </c>
      <c r="F80" s="946"/>
      <c r="G80" s="946" t="str">
        <f>IF('Pro 4'!G230="","-",'Pro 4'!G230)</f>
        <v>-</v>
      </c>
      <c r="H80" s="946"/>
      <c r="I80" s="946" t="str">
        <f>IF('Pro 4'!I230="","-",'Pro 4'!I230)</f>
        <v>-</v>
      </c>
      <c r="J80" s="946"/>
      <c r="K80" s="946" t="str">
        <f>IF('Pro 4'!K230="","-",'Pro 4'!K230)</f>
        <v>-</v>
      </c>
      <c r="L80" s="947"/>
    </row>
    <row r="81" spans="1:12" s="157" customFormat="1" x14ac:dyDescent="0.25">
      <c r="A81" s="200"/>
      <c r="B81" s="650"/>
      <c r="C81" s="946"/>
      <c r="D81" s="946"/>
      <c r="E81" s="946"/>
      <c r="F81" s="946"/>
      <c r="G81" s="946"/>
      <c r="H81" s="946"/>
      <c r="I81" s="946"/>
      <c r="J81" s="946"/>
      <c r="K81" s="946"/>
      <c r="L81" s="947"/>
    </row>
    <row r="82" spans="1:12" s="157" customFormat="1" x14ac:dyDescent="0.25">
      <c r="A82" s="200"/>
      <c r="B82" s="650"/>
      <c r="C82" s="946"/>
      <c r="D82" s="946"/>
      <c r="E82" s="946"/>
      <c r="F82" s="946"/>
      <c r="G82" s="946"/>
      <c r="H82" s="946"/>
      <c r="I82" s="946"/>
      <c r="J82" s="946"/>
      <c r="K82" s="946"/>
      <c r="L82" s="947"/>
    </row>
    <row r="83" spans="1:12" s="157" customFormat="1" x14ac:dyDescent="0.25">
      <c r="A83" s="200"/>
      <c r="B83" s="650"/>
      <c r="C83" s="946"/>
      <c r="D83" s="946"/>
      <c r="E83" s="946"/>
      <c r="F83" s="946"/>
      <c r="G83" s="946"/>
      <c r="H83" s="946"/>
      <c r="I83" s="946"/>
      <c r="J83" s="946"/>
      <c r="K83" s="946"/>
      <c r="L83" s="947"/>
    </row>
    <row r="84" spans="1:12" s="157" customFormat="1" x14ac:dyDescent="0.25">
      <c r="A84" s="200"/>
      <c r="B84" s="682" t="str">
        <f>B64</f>
        <v>Pays d'origine (P)</v>
      </c>
      <c r="C84" s="942" t="str">
        <f>IF('Pro 4'!C234="","-",'Pro 4'!C234)</f>
        <v>-</v>
      </c>
      <c r="D84" s="942"/>
      <c r="E84" s="942" t="str">
        <f>IF('Pro 4'!E234="","-",'Pro 4'!E234)</f>
        <v>-</v>
      </c>
      <c r="F84" s="942"/>
      <c r="G84" s="942" t="str">
        <f>IF('Pro 4'!G234="","-",'Pro 4'!G234)</f>
        <v>-</v>
      </c>
      <c r="H84" s="942"/>
      <c r="I84" s="942" t="str">
        <f>IF('Pro 4'!I234="","-",'Pro 4'!I234)</f>
        <v>-</v>
      </c>
      <c r="J84" s="942"/>
      <c r="K84" s="942" t="str">
        <f>IF('Pro 4'!K234="","-",'Pro 4'!K234)</f>
        <v>-</v>
      </c>
      <c r="L84" s="944"/>
    </row>
    <row r="85" spans="1:12" s="157" customFormat="1" x14ac:dyDescent="0.25">
      <c r="A85" s="200"/>
      <c r="B85" s="686"/>
      <c r="C85" s="943"/>
      <c r="D85" s="943"/>
      <c r="E85" s="943"/>
      <c r="F85" s="943"/>
      <c r="G85" s="943"/>
      <c r="H85" s="943"/>
      <c r="I85" s="943"/>
      <c r="J85" s="943"/>
      <c r="K85" s="943"/>
      <c r="L85" s="945"/>
    </row>
    <row r="86" spans="1:12" s="157" customFormat="1" x14ac:dyDescent="0.25">
      <c r="A86" s="200"/>
      <c r="B86" s="207"/>
      <c r="C86" s="208"/>
      <c r="D86" s="208"/>
      <c r="E86" s="208"/>
      <c r="F86" s="208"/>
      <c r="G86" s="208"/>
      <c r="H86" s="208"/>
      <c r="I86" s="208"/>
      <c r="J86" s="208"/>
      <c r="K86" s="208"/>
      <c r="L86" s="209"/>
    </row>
  </sheetData>
  <sheetProtection algorithmName="SHA-512" hashValue="T1pEMJF9Z3DiYsnx6toG0Rsy00cfs5IyBUr92CrOY2N/pKSdAExi3hcow4pG2lKzUjiqYXEUidFegH/g4MpSBQ==" saltValue="v1E7/YrwEHpjB49WhdwqrA==" spinCount="100000" sheet="1" objects="1" scenarios="1" selectLockedCells="1"/>
  <mergeCells count="101">
    <mergeCell ref="K49:L51"/>
    <mergeCell ref="B48:L48"/>
    <mergeCell ref="E47:F47"/>
    <mergeCell ref="G47:H47"/>
    <mergeCell ref="I47:J47"/>
    <mergeCell ref="K47:L47"/>
    <mergeCell ref="C47:D47"/>
    <mergeCell ref="B49:B51"/>
    <mergeCell ref="C49:D51"/>
    <mergeCell ref="E49:F51"/>
    <mergeCell ref="G49:H51"/>
    <mergeCell ref="I49:J51"/>
    <mergeCell ref="B41:L41"/>
    <mergeCell ref="B39:D39"/>
    <mergeCell ref="B43:L45"/>
    <mergeCell ref="B35:D35"/>
    <mergeCell ref="E33:E34"/>
    <mergeCell ref="F33:F34"/>
    <mergeCell ref="G33:G34"/>
    <mergeCell ref="H33:H34"/>
    <mergeCell ref="I69:J71"/>
    <mergeCell ref="K69:L71"/>
    <mergeCell ref="E53:F56"/>
    <mergeCell ref="B53:B56"/>
    <mergeCell ref="B60:B63"/>
    <mergeCell ref="G53:H56"/>
    <mergeCell ref="C60:D63"/>
    <mergeCell ref="E60:F63"/>
    <mergeCell ref="K67:L67"/>
    <mergeCell ref="G60:H63"/>
    <mergeCell ref="I60:J63"/>
    <mergeCell ref="C67:D67"/>
    <mergeCell ref="E67:F67"/>
    <mergeCell ref="G67:H67"/>
    <mergeCell ref="I67:J67"/>
    <mergeCell ref="K60:L63"/>
    <mergeCell ref="B52:L52"/>
    <mergeCell ref="I53:J56"/>
    <mergeCell ref="K53:L56"/>
    <mergeCell ref="B57:B58"/>
    <mergeCell ref="C57:D58"/>
    <mergeCell ref="E57:F58"/>
    <mergeCell ref="G57:H58"/>
    <mergeCell ref="I57:J58"/>
    <mergeCell ref="K57:L58"/>
    <mergeCell ref="C53:D56"/>
    <mergeCell ref="B4:L4"/>
    <mergeCell ref="B5:L5"/>
    <mergeCell ref="B6:L6"/>
    <mergeCell ref="B36:D36"/>
    <mergeCell ref="B38:D38"/>
    <mergeCell ref="B8:L8"/>
    <mergeCell ref="B9:L9"/>
    <mergeCell ref="B12:I12"/>
    <mergeCell ref="B13:I13"/>
    <mergeCell ref="B14:I14"/>
    <mergeCell ref="B15:I15"/>
    <mergeCell ref="B28:L28"/>
    <mergeCell ref="B17:L17"/>
    <mergeCell ref="B19:L26"/>
    <mergeCell ref="I33:I34"/>
    <mergeCell ref="B30:L31"/>
    <mergeCell ref="B37:D37"/>
    <mergeCell ref="B59:L59"/>
    <mergeCell ref="B73:B76"/>
    <mergeCell ref="C73:D76"/>
    <mergeCell ref="E73:F76"/>
    <mergeCell ref="G73:H76"/>
    <mergeCell ref="I73:J76"/>
    <mergeCell ref="K73:L76"/>
    <mergeCell ref="B68:L68"/>
    <mergeCell ref="B69:B71"/>
    <mergeCell ref="C69:D71"/>
    <mergeCell ref="E69:F71"/>
    <mergeCell ref="G69:H71"/>
    <mergeCell ref="K64:L65"/>
    <mergeCell ref="B64:B65"/>
    <mergeCell ref="C64:D65"/>
    <mergeCell ref="E64:F65"/>
    <mergeCell ref="G64:H65"/>
    <mergeCell ref="I64:J65"/>
    <mergeCell ref="B72:L72"/>
    <mergeCell ref="B84:B85"/>
    <mergeCell ref="C84:D85"/>
    <mergeCell ref="E84:F85"/>
    <mergeCell ref="G84:H85"/>
    <mergeCell ref="I84:J85"/>
    <mergeCell ref="K84:L85"/>
    <mergeCell ref="K77:L78"/>
    <mergeCell ref="B79:L79"/>
    <mergeCell ref="B80:B83"/>
    <mergeCell ref="C80:D83"/>
    <mergeCell ref="E80:F83"/>
    <mergeCell ref="G80:H83"/>
    <mergeCell ref="I80:J83"/>
    <mergeCell ref="K80:L83"/>
    <mergeCell ref="B77:B78"/>
    <mergeCell ref="C77:D78"/>
    <mergeCell ref="E77:F78"/>
    <mergeCell ref="G77:H78"/>
    <mergeCell ref="I77:J7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rstPageNumber="40" fitToHeight="0" orientation="portrait" r:id="rId1"/>
  <headerFooter>
    <oddFooter>&amp;L&amp;A</oddFooter>
  </headerFooter>
  <rowBreaks count="1" manualBreakCount="1">
    <brk id="40"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Variables!$D$46:$D$47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2231-3561-4E30-8804-B9CC56D7E7C9}">
  <sheetPr>
    <tabColor rgb="FFFF0000"/>
  </sheetPr>
  <dimension ref="A1:M9"/>
  <sheetViews>
    <sheetView workbookViewId="0">
      <selection activeCell="I10" sqref="I10"/>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1" spans="1:13" x14ac:dyDescent="0.25">
      <c r="H1" s="643" t="s">
        <v>525</v>
      </c>
    </row>
    <row r="2" spans="1:13" x14ac:dyDescent="0.25">
      <c r="H2" s="643" t="s">
        <v>965</v>
      </c>
    </row>
    <row r="3" spans="1:13" x14ac:dyDescent="0.25">
      <c r="H3" s="643" t="s">
        <v>967</v>
      </c>
    </row>
    <row r="4" spans="1:13" ht="15.75" thickBot="1" x14ac:dyDescent="0.3">
      <c r="H4" s="643" t="s">
        <v>966</v>
      </c>
    </row>
    <row r="5" spans="1:13" x14ac:dyDescent="0.25">
      <c r="A5" s="342" t="s">
        <v>764</v>
      </c>
      <c r="B5" s="342" t="s">
        <v>765</v>
      </c>
      <c r="C5" s="342" t="s">
        <v>766</v>
      </c>
      <c r="D5" s="343" t="s">
        <v>767</v>
      </c>
      <c r="E5" s="343" t="s">
        <v>768</v>
      </c>
      <c r="F5" s="343" t="s">
        <v>769</v>
      </c>
      <c r="G5" s="344" t="s">
        <v>770</v>
      </c>
      <c r="H5" s="345" t="s">
        <v>771</v>
      </c>
      <c r="I5" s="346">
        <v>2022</v>
      </c>
      <c r="J5" s="346">
        <v>2023</v>
      </c>
      <c r="K5" s="347">
        <v>2024</v>
      </c>
      <c r="L5" s="346" t="s">
        <v>772</v>
      </c>
      <c r="M5" s="348" t="s">
        <v>773</v>
      </c>
    </row>
    <row r="6" spans="1:13" x14ac:dyDescent="0.25">
      <c r="A6" s="349">
        <f>Intro!E77</f>
        <v>0</v>
      </c>
      <c r="B6" s="350" t="s">
        <v>774</v>
      </c>
      <c r="C6" s="350" t="s">
        <v>40</v>
      </c>
      <c r="D6" s="351" t="s">
        <v>526</v>
      </c>
      <c r="E6" s="351" t="s">
        <v>526</v>
      </c>
      <c r="F6" s="352"/>
      <c r="G6" s="352" t="s">
        <v>525</v>
      </c>
      <c r="H6" s="353" t="s">
        <v>525</v>
      </c>
      <c r="I6" s="354" t="str">
        <f>Confirm!E35</f>
        <v>-</v>
      </c>
      <c r="J6" s="354" t="str">
        <f>Confirm!F35</f>
        <v>-</v>
      </c>
      <c r="K6" s="354" t="str">
        <f>Confirm!G35</f>
        <v>-</v>
      </c>
      <c r="L6" s="354" t="str">
        <f>Confirm!H35</f>
        <v>-</v>
      </c>
      <c r="M6" s="624" t="str">
        <f>Confirm!I35</f>
        <v>-</v>
      </c>
    </row>
    <row r="7" spans="1:13" x14ac:dyDescent="0.25">
      <c r="A7" s="54">
        <f>A6</f>
        <v>0</v>
      </c>
      <c r="B7" s="54" t="str">
        <f>B6</f>
        <v xml:space="preserve">Domestic Producer   |  Producteur national </v>
      </c>
      <c r="C7" s="54" t="s">
        <v>775</v>
      </c>
      <c r="D7" s="355" t="s">
        <v>526</v>
      </c>
      <c r="E7" s="355" t="s">
        <v>526</v>
      </c>
      <c r="F7" s="355"/>
      <c r="G7" s="356" t="s">
        <v>525</v>
      </c>
      <c r="H7" s="357" t="s">
        <v>965</v>
      </c>
      <c r="I7" s="358" t="str">
        <f>Confirm!E36</f>
        <v>-</v>
      </c>
      <c r="J7" s="358" t="str">
        <f>Confirm!F36</f>
        <v>-</v>
      </c>
      <c r="K7" s="358" t="str">
        <f>Confirm!G36</f>
        <v>-</v>
      </c>
      <c r="L7" s="358" t="str">
        <f>Confirm!H36</f>
        <v>-</v>
      </c>
      <c r="M7" s="625" t="str">
        <f>Confirm!I36</f>
        <v>-</v>
      </c>
    </row>
    <row r="8" spans="1:13" x14ac:dyDescent="0.25">
      <c r="A8" s="359">
        <f t="shared" ref="A8:B9" si="0">A7</f>
        <v>0</v>
      </c>
      <c r="B8" s="359" t="str">
        <f t="shared" si="0"/>
        <v xml:space="preserve">Domestic Producer   |  Producteur national </v>
      </c>
      <c r="C8" s="359" t="s">
        <v>775</v>
      </c>
      <c r="D8" s="360" t="s">
        <v>526</v>
      </c>
      <c r="E8" s="360" t="s">
        <v>526</v>
      </c>
      <c r="F8" s="360"/>
      <c r="G8" s="361" t="s">
        <v>525</v>
      </c>
      <c r="H8" s="362" t="s">
        <v>967</v>
      </c>
      <c r="I8" s="358" t="str">
        <f>Confirm!E37</f>
        <v>-</v>
      </c>
      <c r="J8" s="358" t="str">
        <f>Confirm!F38</f>
        <v>-</v>
      </c>
      <c r="K8" s="358" t="str">
        <f>Confirm!G38</f>
        <v>-</v>
      </c>
      <c r="L8" s="358" t="str">
        <f>Confirm!H38</f>
        <v>-</v>
      </c>
      <c r="M8" s="625" t="str">
        <f>Confirm!I38</f>
        <v>-</v>
      </c>
    </row>
    <row r="9" spans="1:13" x14ac:dyDescent="0.25">
      <c r="A9" s="54">
        <f t="shared" si="0"/>
        <v>0</v>
      </c>
      <c r="B9" s="54" t="str">
        <f t="shared" si="0"/>
        <v xml:space="preserve">Domestic Producer   |  Producteur national </v>
      </c>
      <c r="C9" s="54" t="s">
        <v>776</v>
      </c>
      <c r="D9" s="355" t="s">
        <v>526</v>
      </c>
      <c r="E9" s="355" t="s">
        <v>526</v>
      </c>
      <c r="F9" s="355"/>
      <c r="G9" s="356" t="s">
        <v>525</v>
      </c>
      <c r="H9" s="357" t="s">
        <v>966</v>
      </c>
      <c r="I9" s="358" t="str">
        <f>Confirm!E38</f>
        <v>-</v>
      </c>
      <c r="J9" s="358" t="str">
        <f>Confirm!F38</f>
        <v>-</v>
      </c>
      <c r="K9" s="358" t="str">
        <f>Confirm!G38</f>
        <v>-</v>
      </c>
      <c r="L9" s="358" t="str">
        <f>Confirm!H38</f>
        <v>-</v>
      </c>
      <c r="M9" s="358" t="str">
        <f>Confirm!I38</f>
        <v>-</v>
      </c>
    </row>
  </sheetData>
  <sheetProtection algorithmName="SHA-512" hashValue="sfAQWarG4gg77ru0ZqTvZAmDCUvTzroX80pVkWlVzf7kG5lAzw1vbbpQl+pFVHXwxWbfs1pWk4pAowQYlraorg==" saltValue="HS73KhF2tKQBUBVeL1/Wlg==" spinCount="100000" sheet="1" objects="1" scenarios="1" selectLockedCells="1"/>
  <dataValidations count="4">
    <dataValidation type="list" allowBlank="1" showInputMessage="1" showErrorMessage="1" sqref="D6:D9" xr:uid="{409030C7-A2DF-43FA-ACD2-6E62E5BC4067}">
      <formula1>$D$1:$D$9</formula1>
    </dataValidation>
    <dataValidation type="list" allowBlank="1" showInputMessage="1" showErrorMessage="1" sqref="B6" xr:uid="{50DDA0AA-0EEE-413C-AA32-F17383B6B17A}">
      <formula1>$B$1:$B$4</formula1>
    </dataValidation>
    <dataValidation type="list" allowBlank="1" showInputMessage="1" showErrorMessage="1" sqref="C6:C9" xr:uid="{309BFBC3-97F6-450C-B46B-83B9F9EAE0B6}">
      <formula1>$C$1:$C$7</formula1>
    </dataValidation>
    <dataValidation type="list" allowBlank="1" showInputMessage="1" showErrorMessage="1" sqref="H6:H9" xr:uid="{02F2B1B3-C949-43E3-9F88-8E59FC8DE947}">
      <formula1>$H$1:$H$4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62832-0F15-4E74-BC87-28C8586D88A5}">
  <sheetPr>
    <tabColor rgb="FFFF0000"/>
  </sheetPr>
  <dimension ref="A1:AM10"/>
  <sheetViews>
    <sheetView workbookViewId="0">
      <selection activeCell="O1" sqref="O1:O4"/>
    </sheetView>
  </sheetViews>
  <sheetFormatPr defaultRowHeight="15" x14ac:dyDescent="0.25"/>
  <cols>
    <col min="1" max="1" width="22.7109375" customWidth="1"/>
    <col min="2" max="2" width="12.28515625" customWidth="1"/>
    <col min="3" max="3" width="11.42578125" customWidth="1"/>
    <col min="4" max="4" width="11.7109375" bestFit="1" customWidth="1"/>
    <col min="5" max="7" width="5.28515625" customWidth="1"/>
    <col min="8" max="8" width="14.28515625" customWidth="1"/>
    <col min="9" max="9" width="16.42578125" customWidth="1"/>
    <col min="10" max="10" width="16" bestFit="1" customWidth="1"/>
    <col min="11" max="11" width="25.5703125" customWidth="1"/>
    <col min="12" max="12" width="11.28515625" customWidth="1"/>
    <col min="13" max="13" width="21.28515625" bestFit="1" customWidth="1"/>
    <col min="14" max="14" width="14.42578125" customWidth="1"/>
    <col min="15" max="15" width="30" bestFit="1" customWidth="1"/>
    <col min="16" max="16" width="0" hidden="1" customWidth="1"/>
    <col min="17" max="17" width="12.7109375" bestFit="1" customWidth="1"/>
    <col min="18" max="21" width="13.42578125" customWidth="1"/>
    <col min="22" max="22" width="10.7109375" customWidth="1"/>
    <col min="23" max="27" width="12.5703125" customWidth="1"/>
    <col min="28" max="39" width="10.7109375" customWidth="1"/>
  </cols>
  <sheetData>
    <row r="1" spans="1:39" x14ac:dyDescent="0.25">
      <c r="O1" s="643" t="s">
        <v>525</v>
      </c>
    </row>
    <row r="2" spans="1:39" x14ac:dyDescent="0.25">
      <c r="O2" s="643" t="s">
        <v>965</v>
      </c>
    </row>
    <row r="3" spans="1:39" x14ac:dyDescent="0.25">
      <c r="O3" s="643" t="s">
        <v>967</v>
      </c>
    </row>
    <row r="4" spans="1:39" ht="15.75" thickBot="1" x14ac:dyDescent="0.3">
      <c r="O4" s="643" t="s">
        <v>966</v>
      </c>
    </row>
    <row r="5" spans="1:39" ht="36.75" x14ac:dyDescent="0.25">
      <c r="A5" s="363" t="s">
        <v>508</v>
      </c>
      <c r="B5" s="363" t="s">
        <v>777</v>
      </c>
      <c r="C5" s="363" t="s">
        <v>509</v>
      </c>
      <c r="D5" s="363" t="s">
        <v>510</v>
      </c>
      <c r="E5" s="364" t="s">
        <v>778</v>
      </c>
      <c r="F5" s="364" t="s">
        <v>779</v>
      </c>
      <c r="G5" s="364" t="s">
        <v>780</v>
      </c>
      <c r="H5" s="363" t="s">
        <v>512</v>
      </c>
      <c r="I5" s="363" t="s">
        <v>513</v>
      </c>
      <c r="J5" s="365" t="s">
        <v>781</v>
      </c>
      <c r="K5" s="363" t="s">
        <v>514</v>
      </c>
      <c r="L5" s="366" t="s">
        <v>782</v>
      </c>
      <c r="M5" s="363" t="s">
        <v>571</v>
      </c>
      <c r="N5" s="363" t="s">
        <v>516</v>
      </c>
      <c r="O5" s="363" t="s">
        <v>517</v>
      </c>
      <c r="P5" s="363" t="s">
        <v>783</v>
      </c>
      <c r="Q5" s="367" t="s">
        <v>784</v>
      </c>
      <c r="R5" s="367" t="s">
        <v>785</v>
      </c>
      <c r="S5" s="367" t="s">
        <v>786</v>
      </c>
      <c r="T5" s="368" t="s">
        <v>787</v>
      </c>
      <c r="U5" s="368" t="s">
        <v>788</v>
      </c>
      <c r="V5" s="369" t="s">
        <v>789</v>
      </c>
      <c r="W5" s="370" t="s">
        <v>790</v>
      </c>
      <c r="X5" s="370" t="s">
        <v>791</v>
      </c>
      <c r="Y5" s="371" t="s">
        <v>792</v>
      </c>
      <c r="Z5" s="371" t="s">
        <v>793</v>
      </c>
      <c r="AA5" s="371" t="s">
        <v>794</v>
      </c>
      <c r="AB5" s="372" t="s">
        <v>789</v>
      </c>
      <c r="AC5" s="373" t="s">
        <v>795</v>
      </c>
      <c r="AD5" s="373" t="s">
        <v>796</v>
      </c>
      <c r="AE5" s="373" t="s">
        <v>797</v>
      </c>
      <c r="AF5" s="373" t="s">
        <v>798</v>
      </c>
      <c r="AG5" s="373" t="s">
        <v>799</v>
      </c>
      <c r="AH5" s="374" t="s">
        <v>789</v>
      </c>
      <c r="AI5" s="375" t="s">
        <v>800</v>
      </c>
      <c r="AJ5" s="375" t="s">
        <v>801</v>
      </c>
      <c r="AK5" s="375" t="s">
        <v>802</v>
      </c>
      <c r="AL5" s="375" t="s">
        <v>803</v>
      </c>
      <c r="AM5" s="375" t="s">
        <v>804</v>
      </c>
    </row>
    <row r="6" spans="1:39" x14ac:dyDescent="0.25">
      <c r="A6" s="376">
        <f>Intro!E77</f>
        <v>0</v>
      </c>
      <c r="B6" s="376">
        <f>A6</f>
        <v>0</v>
      </c>
      <c r="C6" s="376" t="s">
        <v>524</v>
      </c>
      <c r="D6" s="377" t="s">
        <v>805</v>
      </c>
      <c r="E6" s="378"/>
      <c r="F6" s="379"/>
      <c r="G6" s="380"/>
      <c r="H6" s="380" t="s">
        <v>549</v>
      </c>
      <c r="I6" s="376" t="s">
        <v>526</v>
      </c>
      <c r="J6" s="376" t="s">
        <v>526</v>
      </c>
      <c r="K6" s="376" t="s">
        <v>526</v>
      </c>
      <c r="L6" s="376"/>
      <c r="M6" s="376" t="s">
        <v>526</v>
      </c>
      <c r="N6" s="381" t="s">
        <v>528</v>
      </c>
      <c r="O6" s="376" t="s">
        <v>529</v>
      </c>
      <c r="P6" s="382" t="s">
        <v>525</v>
      </c>
      <c r="Q6" s="383">
        <f>'Pro 2'!H29</f>
        <v>0</v>
      </c>
      <c r="R6" s="383">
        <f>'Pro 2'!I29</f>
        <v>0</v>
      </c>
      <c r="S6" s="383">
        <f>'Pro 2'!J29</f>
        <v>0</v>
      </c>
      <c r="T6" s="383">
        <f>'Pro 2'!K29</f>
        <v>0</v>
      </c>
      <c r="U6" s="384">
        <f>'Pro 2'!L29</f>
        <v>0</v>
      </c>
      <c r="V6" s="385"/>
      <c r="W6" s="383">
        <f>'Pro 2'!H30/1000</f>
        <v>0</v>
      </c>
      <c r="X6" s="383">
        <f>'Pro 2'!I30/1000</f>
        <v>0</v>
      </c>
      <c r="Y6" s="383">
        <f>'Pro 2'!J30/1000</f>
        <v>0</v>
      </c>
      <c r="Z6" s="383">
        <f>'Pro 2'!K30/1000</f>
        <v>0</v>
      </c>
      <c r="AA6" s="384">
        <f>'Pro 2'!L30/1000</f>
        <v>0</v>
      </c>
      <c r="AB6" s="385"/>
      <c r="AC6" s="383">
        <f>(IF(ISERROR(W6/Q6),0,W6/Q6))*1000</f>
        <v>0</v>
      </c>
      <c r="AD6" s="383">
        <f t="shared" ref="AC6:AH8" si="0">(IF(ISERROR(X6/R6),0,X6/R6))*1000</f>
        <v>0</v>
      </c>
      <c r="AE6" s="383">
        <f t="shared" si="0"/>
        <v>0</v>
      </c>
      <c r="AF6" s="383">
        <f t="shared" si="0"/>
        <v>0</v>
      </c>
      <c r="AG6" s="384">
        <f t="shared" si="0"/>
        <v>0</v>
      </c>
      <c r="AH6" s="385">
        <f t="shared" si="0"/>
        <v>0</v>
      </c>
      <c r="AI6" s="386">
        <f>W6*('Pro 2'!E$146/100)</f>
        <v>0</v>
      </c>
      <c r="AJ6" s="386">
        <f>X6*('Pro 2'!F$146/100)</f>
        <v>0</v>
      </c>
      <c r="AK6" s="386">
        <f>Y6*('Pro 2'!G$146/100)</f>
        <v>0</v>
      </c>
      <c r="AL6" s="386">
        <f>Z6*('Pro 2'!H$146/100)</f>
        <v>0</v>
      </c>
      <c r="AM6" s="387">
        <f>AA6*('Pro 2'!I$146/100)</f>
        <v>0</v>
      </c>
    </row>
    <row r="7" spans="1:39" x14ac:dyDescent="0.25">
      <c r="A7" s="388">
        <f>A6</f>
        <v>0</v>
      </c>
      <c r="B7" s="388">
        <f>A7</f>
        <v>0</v>
      </c>
      <c r="C7" s="388" t="str">
        <f t="shared" ref="C7:D8" si="1">C6</f>
        <v>1 - Producer</v>
      </c>
      <c r="D7" s="388" t="str">
        <f t="shared" si="1"/>
        <v xml:space="preserve">- </v>
      </c>
      <c r="E7" s="389"/>
      <c r="F7" s="389"/>
      <c r="G7" s="388"/>
      <c r="H7" s="388" t="str">
        <f>H6</f>
        <v>A - DOM</v>
      </c>
      <c r="I7" s="388" t="s">
        <v>526</v>
      </c>
      <c r="J7" s="388" t="s">
        <v>526</v>
      </c>
      <c r="K7" s="388" t="s">
        <v>526</v>
      </c>
      <c r="L7" s="388"/>
      <c r="M7" s="388" t="s">
        <v>526</v>
      </c>
      <c r="N7" s="390" t="s">
        <v>528</v>
      </c>
      <c r="O7" s="388" t="s">
        <v>806</v>
      </c>
      <c r="P7" s="391" t="s">
        <v>525</v>
      </c>
      <c r="Q7" s="392">
        <f>'Pro 2'!H32</f>
        <v>0</v>
      </c>
      <c r="R7" s="392">
        <f>'Pro 2'!I32</f>
        <v>0</v>
      </c>
      <c r="S7" s="392">
        <f>'Pro 2'!J32</f>
        <v>0</v>
      </c>
      <c r="T7" s="392">
        <f>'Pro 2'!K32</f>
        <v>0</v>
      </c>
      <c r="U7" s="393">
        <f>'Pro 2'!L32</f>
        <v>0</v>
      </c>
      <c r="V7" s="394"/>
      <c r="W7" s="392">
        <f>'Pro 2'!H35/1000</f>
        <v>0</v>
      </c>
      <c r="X7" s="392">
        <f>'Pro 2'!I35/1000</f>
        <v>0</v>
      </c>
      <c r="Y7" s="392">
        <f>'Pro 2'!J35/1000</f>
        <v>0</v>
      </c>
      <c r="Z7" s="392">
        <f>'Pro 2'!K35/1000</f>
        <v>0</v>
      </c>
      <c r="AA7" s="393">
        <f>'Pro 2'!L35/1000</f>
        <v>0</v>
      </c>
      <c r="AB7" s="394"/>
      <c r="AC7" s="392">
        <f t="shared" ref="AC7" si="2">(IF(ISERROR(W7/Q7),0,W7/Q7))*1000</f>
        <v>0</v>
      </c>
      <c r="AD7" s="392">
        <f t="shared" ref="AD7" si="3">(IF(ISERROR(X7/R7),0,X7/R7))*1000</f>
        <v>0</v>
      </c>
      <c r="AE7" s="392">
        <f t="shared" ref="AE7" si="4">(IF(ISERROR(Y7/S7),0,Y7/S7))*1000</f>
        <v>0</v>
      </c>
      <c r="AF7" s="392">
        <f t="shared" ref="AF7" si="5">(IF(ISERROR(Z7/T7),0,Z7/T7))*1000</f>
        <v>0</v>
      </c>
      <c r="AG7" s="393">
        <f t="shared" ref="AG7" si="6">(IF(ISERROR(AA7/U7),0,AA7/U7))*1000</f>
        <v>0</v>
      </c>
      <c r="AH7" s="394">
        <f t="shared" ref="AH7" si="7">(IF(ISERROR(AB7/V7),0,AB7/V7))*1000</f>
        <v>0</v>
      </c>
      <c r="AI7" s="395">
        <f>W7*('Pro 2'!E$146/100)</f>
        <v>0</v>
      </c>
      <c r="AJ7" s="395">
        <f>X7*('Pro 2'!F$146/100)</f>
        <v>0</v>
      </c>
      <c r="AK7" s="395">
        <f>Y7*('Pro 2'!G$146/100)</f>
        <v>0</v>
      </c>
      <c r="AL7" s="395">
        <f>Z7*('Pro 2'!H$146/100)</f>
        <v>0</v>
      </c>
      <c r="AM7" s="396">
        <f>AA7*('Pro 2'!I$146/100)</f>
        <v>0</v>
      </c>
    </row>
    <row r="8" spans="1:39" x14ac:dyDescent="0.25">
      <c r="A8" s="388">
        <f>A7</f>
        <v>0</v>
      </c>
      <c r="B8" s="388">
        <f>A8</f>
        <v>0</v>
      </c>
      <c r="C8" s="388" t="str">
        <f t="shared" si="1"/>
        <v>1 - Producer</v>
      </c>
      <c r="D8" s="388" t="str">
        <f t="shared" si="1"/>
        <v xml:space="preserve">- </v>
      </c>
      <c r="E8" s="389"/>
      <c r="F8" s="389"/>
      <c r="G8" s="388"/>
      <c r="H8" s="388" t="str">
        <f>H7</f>
        <v>A - DOM</v>
      </c>
      <c r="I8" s="388" t="s">
        <v>526</v>
      </c>
      <c r="J8" s="388" t="s">
        <v>526</v>
      </c>
      <c r="K8" s="388" t="s">
        <v>526</v>
      </c>
      <c r="L8" s="388"/>
      <c r="M8" s="388" t="s">
        <v>526</v>
      </c>
      <c r="N8" s="390" t="s">
        <v>528</v>
      </c>
      <c r="O8" s="388" t="s">
        <v>966</v>
      </c>
      <c r="P8" s="391" t="s">
        <v>525</v>
      </c>
      <c r="Q8" s="392">
        <f>'Pro 2'!H35</f>
        <v>0</v>
      </c>
      <c r="R8" s="392">
        <f>'Pro 2'!I35</f>
        <v>0</v>
      </c>
      <c r="S8" s="392">
        <f>'Pro 2'!J35</f>
        <v>0</v>
      </c>
      <c r="T8" s="392">
        <f>'Pro 2'!K35</f>
        <v>0</v>
      </c>
      <c r="U8" s="393">
        <f>'Pro 2'!L35</f>
        <v>0</v>
      </c>
      <c r="V8" s="394"/>
      <c r="W8" s="392">
        <f>'Pro 2'!H36/1000</f>
        <v>0</v>
      </c>
      <c r="X8" s="392">
        <f>'Pro 2'!I36/1000</f>
        <v>0</v>
      </c>
      <c r="Y8" s="392">
        <f>'Pro 2'!J36/1000</f>
        <v>0</v>
      </c>
      <c r="Z8" s="392">
        <f>'Pro 2'!K36/1000</f>
        <v>0</v>
      </c>
      <c r="AA8" s="393">
        <f>'Pro 2'!L36/1000</f>
        <v>0</v>
      </c>
      <c r="AB8" s="394"/>
      <c r="AC8" s="392">
        <f t="shared" si="0"/>
        <v>0</v>
      </c>
      <c r="AD8" s="392">
        <f t="shared" si="0"/>
        <v>0</v>
      </c>
      <c r="AE8" s="392">
        <f t="shared" si="0"/>
        <v>0</v>
      </c>
      <c r="AF8" s="392">
        <f t="shared" si="0"/>
        <v>0</v>
      </c>
      <c r="AG8" s="393">
        <f t="shared" si="0"/>
        <v>0</v>
      </c>
      <c r="AH8" s="394">
        <f t="shared" si="0"/>
        <v>0</v>
      </c>
      <c r="AI8" s="395">
        <f>W8*('Pro 2'!E$146/100)</f>
        <v>0</v>
      </c>
      <c r="AJ8" s="395">
        <f>X8*('Pro 2'!F$146/100)</f>
        <v>0</v>
      </c>
      <c r="AK8" s="395">
        <f>Y8*('Pro 2'!G$146/100)</f>
        <v>0</v>
      </c>
      <c r="AL8" s="395">
        <f>Z8*('Pro 2'!H$146/100)</f>
        <v>0</v>
      </c>
      <c r="AM8" s="396">
        <f>AA8*('Pro 2'!I$146/100)</f>
        <v>0</v>
      </c>
    </row>
    <row r="9" spans="1:39" x14ac:dyDescent="0.25">
      <c r="A9" s="54"/>
      <c r="B9" s="54"/>
      <c r="C9" s="54"/>
      <c r="D9" s="397"/>
      <c r="E9" s="397"/>
      <c r="F9" s="397"/>
      <c r="G9" s="398"/>
      <c r="H9" s="397"/>
      <c r="I9" s="399"/>
      <c r="J9" s="400"/>
      <c r="K9" s="400"/>
      <c r="L9" s="400"/>
      <c r="M9" s="400"/>
      <c r="Q9" s="392"/>
      <c r="R9" s="392"/>
      <c r="S9" s="392"/>
      <c r="T9" s="392"/>
      <c r="U9" s="393"/>
      <c r="V9" s="394"/>
      <c r="W9" s="392"/>
      <c r="X9" s="392"/>
      <c r="Y9" s="392"/>
      <c r="Z9" s="392"/>
      <c r="AA9" s="393"/>
      <c r="AB9" s="394"/>
      <c r="AC9" s="392"/>
      <c r="AD9" s="392"/>
      <c r="AE9" s="392"/>
      <c r="AF9" s="392"/>
      <c r="AG9" s="393"/>
      <c r="AH9" s="394"/>
      <c r="AI9" s="395"/>
      <c r="AJ9" s="395"/>
      <c r="AK9" s="395"/>
      <c r="AL9" s="395"/>
      <c r="AM9" s="396"/>
    </row>
    <row r="10" spans="1:39" x14ac:dyDescent="0.25">
      <c r="A10" s="54"/>
      <c r="B10" s="54"/>
      <c r="C10" s="54"/>
      <c r="D10" s="397"/>
      <c r="E10" s="397"/>
      <c r="F10" s="397"/>
      <c r="G10" s="398"/>
      <c r="H10" s="397"/>
      <c r="I10" s="399"/>
      <c r="J10" s="400"/>
      <c r="K10" s="400"/>
      <c r="L10" s="400"/>
      <c r="M10" s="400"/>
    </row>
  </sheetData>
  <sheetProtection algorithmName="SHA-512" hashValue="C00Ej5fU9S5ti2D4/El3bs5/NCvAzjsIC11YAldsidoUFD+PYsWTt0sFzWYKOIKfjtPkwfaRifgxd+NpXmSm/g==" saltValue="r/lC8yUqFLcCdkWcgDySQw==" spinCount="100000" sheet="1" objects="1" scenarios="1" selectLockedCells="1"/>
  <dataValidations count="9">
    <dataValidation type="list" allowBlank="1" showInputMessage="1" showErrorMessage="1" sqref="D6" xr:uid="{6D4166CB-88FC-40DD-B48B-FD5BFA0FFD6F}">
      <formula1>$D$1:$D$8</formula1>
    </dataValidation>
    <dataValidation type="list" allowBlank="1" showInputMessage="1" showErrorMessage="1" sqref="H6" xr:uid="{A1D8F491-35F3-49BC-9296-92AA53E40FD9}">
      <formula1>$H$1:$H$30</formula1>
    </dataValidation>
    <dataValidation type="list" allowBlank="1" showInputMessage="1" showErrorMessage="1" sqref="H7:H8" xr:uid="{85F85275-6914-4712-9D97-C44905671FCE}">
      <formula1>$H$5:$H$30</formula1>
    </dataValidation>
    <dataValidation type="list" allowBlank="1" showInputMessage="1" showErrorMessage="1" sqref="O6:O8" xr:uid="{CD4C63DE-8CD3-4C9C-A09C-CB5FE1DA258D}">
      <formula1>$O$1:$O$4</formula1>
    </dataValidation>
    <dataValidation type="list" allowBlank="1" showInputMessage="1" showErrorMessage="1" sqref="P6:P8" xr:uid="{C77EAC9D-496A-4443-BEA5-F014CB5BA111}">
      <formula1>$P$1:$P$8</formula1>
    </dataValidation>
    <dataValidation type="list" allowBlank="1" showInputMessage="1" showErrorMessage="1" sqref="N6:N8" xr:uid="{1FCE92AC-0585-48BC-A068-DC1B00A17D11}">
      <formula1>$N$1:$N$9</formula1>
    </dataValidation>
    <dataValidation type="list" allowBlank="1" showInputMessage="1" showErrorMessage="1" sqref="D9:D10" xr:uid="{CD63FF2E-33CC-4E94-A460-DDB324A2F42A}">
      <formula1>$D$1:$D$10</formula1>
    </dataValidation>
    <dataValidation type="list" allowBlank="1" showInputMessage="1" showErrorMessage="1" sqref="C9:C10" xr:uid="{C0FBC403-4959-4A0B-AE30-637ADA589FCD}">
      <formula1>$C$1:$C$8</formula1>
    </dataValidation>
    <dataValidation type="list" allowBlank="1" showInputMessage="1" showErrorMessage="1" sqref="H9:H10" xr:uid="{E50BFAE2-E167-44DA-BFFE-D39305D7A8AA}">
      <formula1>$H$1:$H$5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DAF1-5E35-4E68-8777-C0EA341C8933}">
  <sheetPr>
    <tabColor rgb="FFFF0000"/>
  </sheetPr>
  <dimension ref="A2:X75"/>
  <sheetViews>
    <sheetView workbookViewId="0">
      <selection activeCell="A5" sqref="A5"/>
    </sheetView>
  </sheetViews>
  <sheetFormatPr defaultRowHeight="15" x14ac:dyDescent="0.25"/>
  <cols>
    <col min="2" max="2" width="4.5703125" customWidth="1"/>
    <col min="3" max="3" width="42.28515625" customWidth="1"/>
    <col min="4" max="4" width="0" hidden="1" customWidth="1"/>
    <col min="5" max="9" width="10" customWidth="1"/>
    <col min="10" max="10" width="5" customWidth="1"/>
    <col min="11" max="11" width="42.28515625" customWidth="1"/>
    <col min="12" max="12" width="4.5703125" customWidth="1"/>
    <col min="13" max="13" width="2.7109375" customWidth="1"/>
    <col min="14" max="14" width="4.5703125" customWidth="1"/>
    <col min="15" max="15" width="42.28515625" customWidth="1"/>
    <col min="16" max="16" width="0" hidden="1" customWidth="1"/>
    <col min="17" max="21" width="10.28515625" customWidth="1"/>
    <col min="22" max="22" width="5" customWidth="1"/>
    <col min="23" max="23" width="42.28515625" customWidth="1"/>
    <col min="24" max="24" width="4.5703125" customWidth="1"/>
  </cols>
  <sheetData>
    <row r="2" spans="1:24" ht="15.75" thickBot="1" x14ac:dyDescent="0.3">
      <c r="C2" s="955" t="s">
        <v>807</v>
      </c>
      <c r="D2" s="955"/>
      <c r="E2" s="955"/>
      <c r="F2" s="955"/>
      <c r="G2" s="955"/>
      <c r="H2" s="955"/>
      <c r="I2" s="955"/>
      <c r="J2" s="955"/>
      <c r="K2" s="955"/>
      <c r="O2" s="956" t="s">
        <v>808</v>
      </c>
      <c r="P2" s="956"/>
      <c r="Q2" s="956"/>
      <c r="R2" s="956"/>
      <c r="S2" s="956"/>
      <c r="T2" s="956"/>
      <c r="U2" s="956"/>
      <c r="V2" s="956"/>
      <c r="W2" s="956"/>
    </row>
    <row r="3" spans="1:24" x14ac:dyDescent="0.25">
      <c r="B3" s="401"/>
      <c r="C3" s="402"/>
      <c r="D3" s="402"/>
      <c r="E3" s="403"/>
      <c r="F3" s="403"/>
      <c r="G3" s="403"/>
      <c r="H3" s="403"/>
      <c r="I3" s="403"/>
      <c r="J3" s="403"/>
      <c r="K3" s="403"/>
      <c r="L3" s="404"/>
      <c r="M3" s="405"/>
      <c r="N3" s="401"/>
      <c r="O3" s="402"/>
      <c r="P3" s="402"/>
      <c r="Q3" s="403"/>
      <c r="R3" s="403"/>
      <c r="S3" s="403"/>
      <c r="T3" s="403"/>
      <c r="U3" s="403"/>
      <c r="V3" s="403"/>
      <c r="W3" s="403"/>
      <c r="X3" s="404"/>
    </row>
    <row r="4" spans="1:24" x14ac:dyDescent="0.25">
      <c r="A4" s="406"/>
      <c r="B4" s="407"/>
      <c r="C4" s="408"/>
      <c r="D4" s="408"/>
      <c r="E4" s="409"/>
      <c r="F4" s="409"/>
      <c r="G4" s="409"/>
      <c r="H4" s="409"/>
      <c r="I4" s="409"/>
      <c r="J4" s="409"/>
      <c r="K4" s="409"/>
      <c r="L4" s="410"/>
      <c r="M4" s="405"/>
      <c r="N4" s="407"/>
      <c r="O4" s="408"/>
      <c r="P4" s="408"/>
      <c r="Q4" s="409"/>
      <c r="R4" s="409"/>
      <c r="S4" s="409"/>
      <c r="T4" s="409"/>
      <c r="U4" s="409"/>
      <c r="V4" s="409"/>
      <c r="W4" s="409"/>
      <c r="X4" s="410"/>
    </row>
    <row r="5" spans="1:24" x14ac:dyDescent="0.25">
      <c r="A5" s="411"/>
      <c r="B5" s="407"/>
      <c r="C5" s="408"/>
      <c r="D5" s="408"/>
      <c r="E5" s="409"/>
      <c r="F5" s="409"/>
      <c r="G5" s="409"/>
      <c r="H5" s="954" t="s">
        <v>809</v>
      </c>
      <c r="I5" s="954"/>
      <c r="J5" s="412"/>
      <c r="K5" s="412"/>
      <c r="L5" s="410"/>
      <c r="M5" s="405"/>
      <c r="N5" s="407"/>
      <c r="O5" s="408"/>
      <c r="P5" s="408"/>
      <c r="Q5" s="409"/>
      <c r="R5" s="409"/>
      <c r="S5" s="409"/>
      <c r="T5" s="954" t="s">
        <v>809</v>
      </c>
      <c r="U5" s="954"/>
      <c r="V5" s="412"/>
      <c r="W5" s="412"/>
      <c r="X5" s="410"/>
    </row>
    <row r="6" spans="1:24" x14ac:dyDescent="0.25">
      <c r="A6" s="54"/>
      <c r="B6" s="413"/>
      <c r="C6" s="414">
        <f>Intro!E77</f>
        <v>0</v>
      </c>
      <c r="D6" s="415"/>
      <c r="E6" s="415">
        <v>2022</v>
      </c>
      <c r="F6" s="415">
        <v>2023</v>
      </c>
      <c r="G6" s="415">
        <v>2024</v>
      </c>
      <c r="H6" s="415">
        <v>2024</v>
      </c>
      <c r="I6" s="415">
        <v>2025</v>
      </c>
      <c r="J6" s="408"/>
      <c r="K6" s="408"/>
      <c r="L6" s="410"/>
      <c r="M6" s="405"/>
      <c r="N6" s="413"/>
      <c r="O6" s="414">
        <f>C6</f>
        <v>0</v>
      </c>
      <c r="P6" s="415"/>
      <c r="Q6" s="415">
        <v>2022</v>
      </c>
      <c r="R6" s="415">
        <v>2023</v>
      </c>
      <c r="S6" s="415">
        <v>2024</v>
      </c>
      <c r="T6" s="415">
        <v>2024</v>
      </c>
      <c r="U6" s="415">
        <v>2025</v>
      </c>
      <c r="V6" s="408"/>
      <c r="W6" s="408"/>
      <c r="X6" s="410"/>
    </row>
    <row r="7" spans="1:24" x14ac:dyDescent="0.25">
      <c r="A7" s="54"/>
      <c r="B7" s="413"/>
      <c r="C7" s="415" t="s">
        <v>469</v>
      </c>
      <c r="D7" s="415" t="s">
        <v>810</v>
      </c>
      <c r="E7" s="416"/>
      <c r="F7" s="416"/>
      <c r="G7" s="416"/>
      <c r="H7" s="416"/>
      <c r="I7" s="416"/>
      <c r="J7" s="416"/>
      <c r="K7" s="415" t="str">
        <f>D7</f>
        <v>Coût des marchandises fabriquées¹</v>
      </c>
      <c r="L7" s="410"/>
      <c r="M7" s="405"/>
      <c r="N7" s="413"/>
      <c r="O7" s="415" t="s">
        <v>469</v>
      </c>
      <c r="P7" s="415" t="s">
        <v>810</v>
      </c>
      <c r="Q7" s="417"/>
      <c r="R7" s="417"/>
      <c r="S7" s="417"/>
      <c r="T7" s="417"/>
      <c r="U7" s="417"/>
      <c r="V7" s="417"/>
      <c r="W7" s="415" t="str">
        <f>P7</f>
        <v>Coût des marchandises fabriquées¹</v>
      </c>
      <c r="X7" s="410"/>
    </row>
    <row r="8" spans="1:24" x14ac:dyDescent="0.25">
      <c r="A8" s="54"/>
      <c r="B8" s="413"/>
      <c r="C8" s="415"/>
      <c r="D8" s="415"/>
      <c r="E8" s="416"/>
      <c r="F8" s="416"/>
      <c r="G8" s="416"/>
      <c r="H8" s="416"/>
      <c r="I8" s="416"/>
      <c r="J8" s="416"/>
      <c r="K8" s="415"/>
      <c r="L8" s="410"/>
      <c r="M8" s="405"/>
      <c r="N8" s="413"/>
      <c r="O8" s="415"/>
      <c r="P8" s="415"/>
      <c r="Q8" s="417"/>
      <c r="R8" s="417"/>
      <c r="S8" s="417"/>
      <c r="T8" s="417"/>
      <c r="U8" s="417"/>
      <c r="V8" s="417"/>
      <c r="W8" s="415"/>
      <c r="X8" s="410"/>
    </row>
    <row r="9" spans="1:24" x14ac:dyDescent="0.25">
      <c r="B9" s="413"/>
      <c r="C9" s="418" t="s">
        <v>471</v>
      </c>
      <c r="D9" s="418" t="s">
        <v>471</v>
      </c>
      <c r="E9" s="416"/>
      <c r="F9" s="416"/>
      <c r="G9" s="416"/>
      <c r="H9" s="416"/>
      <c r="I9" s="416"/>
      <c r="J9" s="416"/>
      <c r="K9" s="418" t="str">
        <f>D9</f>
        <v>Tonnes</v>
      </c>
      <c r="L9" s="410"/>
      <c r="M9" s="405"/>
      <c r="N9" s="413"/>
      <c r="O9" s="418" t="str">
        <f>C9</f>
        <v>Tonnes</v>
      </c>
      <c r="P9" s="418" t="str">
        <f>D9</f>
        <v>Tonnes</v>
      </c>
      <c r="Q9" s="417"/>
      <c r="R9" s="417"/>
      <c r="S9" s="417"/>
      <c r="T9" s="417"/>
      <c r="U9" s="417"/>
      <c r="V9" s="417"/>
      <c r="W9" s="418" t="str">
        <f>P9</f>
        <v>Tonnes</v>
      </c>
      <c r="X9" s="410"/>
    </row>
    <row r="10" spans="1:24" x14ac:dyDescent="0.25">
      <c r="B10" s="413"/>
      <c r="C10" s="419" t="s">
        <v>472</v>
      </c>
      <c r="D10" s="419" t="s">
        <v>811</v>
      </c>
      <c r="E10" s="420">
        <f>'Pro 1'!G21</f>
        <v>0</v>
      </c>
      <c r="F10" s="420">
        <f>'Pro 1'!H21</f>
        <v>0</v>
      </c>
      <c r="G10" s="420">
        <f>'Pro 1'!I21</f>
        <v>0</v>
      </c>
      <c r="H10" s="420">
        <f>'Pro 1'!J21</f>
        <v>0</v>
      </c>
      <c r="I10" s="420">
        <f>'Pro 1'!K21</f>
        <v>0</v>
      </c>
      <c r="J10" s="421"/>
      <c r="K10" s="419" t="str">
        <f t="shared" ref="K10:K54" si="0">D10</f>
        <v xml:space="preserve">Volume des marchandises fabriquées </v>
      </c>
      <c r="L10" s="410"/>
      <c r="M10" s="405"/>
      <c r="N10" s="413"/>
      <c r="O10" s="419" t="str">
        <f>C10</f>
        <v xml:space="preserve">Volume of goods manufactured </v>
      </c>
      <c r="P10" s="419" t="str">
        <f>D10</f>
        <v xml:space="preserve">Volume des marchandises fabriquées </v>
      </c>
      <c r="Q10" s="420">
        <f>'Pro 1'!G22</f>
        <v>0</v>
      </c>
      <c r="R10" s="420">
        <f>'Pro 1'!H22</f>
        <v>0</v>
      </c>
      <c r="S10" s="420">
        <f>'Pro 1'!I22</f>
        <v>0</v>
      </c>
      <c r="T10" s="420">
        <f>'Pro 1'!J22</f>
        <v>0</v>
      </c>
      <c r="U10" s="420">
        <f>'Pro 1'!K22</f>
        <v>0</v>
      </c>
      <c r="V10" s="421"/>
      <c r="W10" s="419" t="str">
        <f t="shared" ref="W10:W54" si="1">P10</f>
        <v xml:space="preserve">Volume des marchandises fabriquées </v>
      </c>
      <c r="X10" s="410"/>
    </row>
    <row r="11" spans="1:24" x14ac:dyDescent="0.25">
      <c r="B11" s="422"/>
      <c r="C11" s="423"/>
      <c r="D11" s="423"/>
      <c r="E11" s="424"/>
      <c r="F11" s="424"/>
      <c r="G11" s="424"/>
      <c r="H11" s="424"/>
      <c r="I11" s="424"/>
      <c r="J11" s="425"/>
      <c r="K11" s="423"/>
      <c r="L11" s="426"/>
      <c r="M11" s="427"/>
      <c r="N11" s="422"/>
      <c r="O11" s="423"/>
      <c r="P11" s="423"/>
      <c r="Q11" s="424"/>
      <c r="R11" s="424"/>
      <c r="S11" s="424"/>
      <c r="T11" s="424"/>
      <c r="U11" s="424"/>
      <c r="V11" s="425"/>
      <c r="W11" s="423"/>
      <c r="X11" s="426"/>
    </row>
    <row r="12" spans="1:24" x14ac:dyDescent="0.25">
      <c r="B12" s="413"/>
      <c r="C12" s="418" t="s">
        <v>470</v>
      </c>
      <c r="D12" s="418" t="s">
        <v>812</v>
      </c>
      <c r="E12" s="428"/>
      <c r="F12" s="428"/>
      <c r="G12" s="428"/>
      <c r="H12" s="428"/>
      <c r="I12" s="428"/>
      <c r="J12" s="421"/>
      <c r="K12" s="418" t="str">
        <f t="shared" si="0"/>
        <v>000 $</v>
      </c>
      <c r="L12" s="410"/>
      <c r="M12" s="405"/>
      <c r="N12" s="413"/>
      <c r="O12" s="418" t="str">
        <f t="shared" ref="O12:P18" si="2">C12</f>
        <v>$000</v>
      </c>
      <c r="P12" s="418" t="str">
        <f t="shared" si="2"/>
        <v>000 $</v>
      </c>
      <c r="Q12" s="428"/>
      <c r="R12" s="428"/>
      <c r="S12" s="428"/>
      <c r="T12" s="428"/>
      <c r="U12" s="428"/>
      <c r="V12" s="421"/>
      <c r="W12" s="418" t="str">
        <f t="shared" si="1"/>
        <v>000 $</v>
      </c>
      <c r="X12" s="410"/>
    </row>
    <row r="13" spans="1:24" x14ac:dyDescent="0.25">
      <c r="B13" s="413"/>
      <c r="C13" s="429" t="s">
        <v>167</v>
      </c>
      <c r="D13" s="429" t="s">
        <v>75</v>
      </c>
      <c r="E13" s="420">
        <f>'Pro 3'!H45/1000</f>
        <v>0</v>
      </c>
      <c r="F13" s="420">
        <f>'Pro 3'!I45/1000</f>
        <v>0</v>
      </c>
      <c r="G13" s="420">
        <f>'Pro 3'!J45/1000</f>
        <v>0</v>
      </c>
      <c r="H13" s="420">
        <f>'Pro 3'!K45/1000</f>
        <v>0</v>
      </c>
      <c r="I13" s="420">
        <f>'Pro 3'!L45/1000</f>
        <v>0</v>
      </c>
      <c r="J13" s="421"/>
      <c r="K13" s="429" t="str">
        <f t="shared" si="0"/>
        <v>Stock d'ouverture</v>
      </c>
      <c r="L13" s="410"/>
      <c r="M13" s="405"/>
      <c r="N13" s="413"/>
      <c r="O13" s="429" t="str">
        <f t="shared" si="2"/>
        <v>Beginning inventory</v>
      </c>
      <c r="P13" s="429" t="str">
        <f t="shared" si="2"/>
        <v>Stock d'ouverture</v>
      </c>
      <c r="Q13" s="420">
        <f>'Pro 3'!H57/1000</f>
        <v>0</v>
      </c>
      <c r="R13" s="420">
        <f>'Pro 3'!I57/1000</f>
        <v>0</v>
      </c>
      <c r="S13" s="420">
        <f>'Pro 3'!J57/1000</f>
        <v>0</v>
      </c>
      <c r="T13" s="420">
        <f>'Pro 3'!K57/1000</f>
        <v>0</v>
      </c>
      <c r="U13" s="420">
        <f>'Pro 3'!L57/1000</f>
        <v>0</v>
      </c>
      <c r="V13" s="421"/>
      <c r="W13" s="429" t="str">
        <f t="shared" si="1"/>
        <v>Stock d'ouverture</v>
      </c>
      <c r="X13" s="410"/>
    </row>
    <row r="14" spans="1:24" x14ac:dyDescent="0.25">
      <c r="B14" s="413"/>
      <c r="C14" s="429" t="s">
        <v>474</v>
      </c>
      <c r="D14" s="429" t="s">
        <v>813</v>
      </c>
      <c r="E14" s="420">
        <f>SUM('Pro 3'!H46:H49)/1000</f>
        <v>0</v>
      </c>
      <c r="F14" s="420">
        <f>SUM('Pro 3'!I46:I49)/1000</f>
        <v>0</v>
      </c>
      <c r="G14" s="420">
        <f>SUM('Pro 3'!J46:J49)/1000</f>
        <v>0</v>
      </c>
      <c r="H14" s="420">
        <f>SUM('Pro 3'!K46:K49)/1000</f>
        <v>0</v>
      </c>
      <c r="I14" s="420">
        <f>SUM('Pro 3'!L46:L49)/1000</f>
        <v>0</v>
      </c>
      <c r="J14" s="421"/>
      <c r="K14" s="429" t="str">
        <f t="shared" si="0"/>
        <v>Matériaux directs utilisés</v>
      </c>
      <c r="L14" s="410"/>
      <c r="M14" s="405"/>
      <c r="N14" s="413"/>
      <c r="O14" s="429" t="str">
        <f t="shared" si="2"/>
        <v xml:space="preserve">Direct materials used </v>
      </c>
      <c r="P14" s="429" t="str">
        <f t="shared" si="2"/>
        <v>Matériaux directs utilisés</v>
      </c>
      <c r="Q14" s="420">
        <f>SUM('Pro 3'!H58:H61)/1000</f>
        <v>0</v>
      </c>
      <c r="R14" s="420">
        <f>SUM('Pro 3'!I58:I61)/1000</f>
        <v>0</v>
      </c>
      <c r="S14" s="420">
        <f>SUM('Pro 3'!J58:J61)/1000</f>
        <v>0</v>
      </c>
      <c r="T14" s="420">
        <f>SUM('Pro 3'!K58:K61)/1000</f>
        <v>0</v>
      </c>
      <c r="U14" s="420">
        <f>SUM('Pro 3'!L58:L61)/1000</f>
        <v>0</v>
      </c>
      <c r="V14" s="421"/>
      <c r="W14" s="429" t="str">
        <f t="shared" si="1"/>
        <v>Matériaux directs utilisés</v>
      </c>
      <c r="X14" s="410"/>
    </row>
    <row r="15" spans="1:24" x14ac:dyDescent="0.25">
      <c r="B15" s="413"/>
      <c r="C15" s="429" t="s">
        <v>475</v>
      </c>
      <c r="D15" s="429" t="s">
        <v>69</v>
      </c>
      <c r="E15" s="420">
        <f>'Pro 3'!H50/1000</f>
        <v>0</v>
      </c>
      <c r="F15" s="420">
        <f>'Pro 3'!I50/1000</f>
        <v>0</v>
      </c>
      <c r="G15" s="420">
        <f>'Pro 3'!J50/1000</f>
        <v>0</v>
      </c>
      <c r="H15" s="420">
        <f>'Pro 3'!K50/1000</f>
        <v>0</v>
      </c>
      <c r="I15" s="420">
        <f>'Pro 3'!L50/1000</f>
        <v>0</v>
      </c>
      <c r="J15" s="421"/>
      <c r="K15" s="429" t="str">
        <f t="shared" si="0"/>
        <v>Emploi direct</v>
      </c>
      <c r="L15" s="410"/>
      <c r="M15" s="405"/>
      <c r="N15" s="413"/>
      <c r="O15" s="429" t="str">
        <f t="shared" si="2"/>
        <v>Direct labour</v>
      </c>
      <c r="P15" s="429" t="str">
        <f t="shared" si="2"/>
        <v>Emploi direct</v>
      </c>
      <c r="Q15" s="420">
        <f>'Pro 3'!H62/1000</f>
        <v>0</v>
      </c>
      <c r="R15" s="420">
        <f>'Pro 3'!I62/1000</f>
        <v>0</v>
      </c>
      <c r="S15" s="420">
        <f>'Pro 3'!J62/1000</f>
        <v>0</v>
      </c>
      <c r="T15" s="420">
        <f>'Pro 3'!K62/1000</f>
        <v>0</v>
      </c>
      <c r="U15" s="420">
        <f>'Pro 3'!L62/1000</f>
        <v>0</v>
      </c>
      <c r="V15" s="421"/>
      <c r="W15" s="429" t="str">
        <f t="shared" si="1"/>
        <v>Emploi direct</v>
      </c>
      <c r="X15" s="410"/>
    </row>
    <row r="16" spans="1:24" x14ac:dyDescent="0.25">
      <c r="B16" s="413"/>
      <c r="C16" s="429" t="s">
        <v>447</v>
      </c>
      <c r="D16" s="429" t="s">
        <v>814</v>
      </c>
      <c r="E16" s="420">
        <f>'Pro 3'!H51/1000</f>
        <v>0</v>
      </c>
      <c r="F16" s="420">
        <f>'Pro 3'!I51/1000</f>
        <v>0</v>
      </c>
      <c r="G16" s="420">
        <f>'Pro 3'!J51/1000</f>
        <v>0</v>
      </c>
      <c r="H16" s="420">
        <f>'Pro 3'!K51/1000</f>
        <v>0</v>
      </c>
      <c r="I16" s="420">
        <f>'Pro 3'!L51/1000</f>
        <v>0</v>
      </c>
      <c r="J16" s="421"/>
      <c r="K16" s="429" t="str">
        <f t="shared" si="0"/>
        <v>Coûts indirects de production</v>
      </c>
      <c r="L16" s="410"/>
      <c r="M16" s="405"/>
      <c r="N16" s="413"/>
      <c r="O16" s="429" t="str">
        <f t="shared" si="2"/>
        <v xml:space="preserve">Factory overhead </v>
      </c>
      <c r="P16" s="429" t="str">
        <f t="shared" si="2"/>
        <v>Coûts indirects de production</v>
      </c>
      <c r="Q16" s="420">
        <f>'Pro 3'!H63/1000</f>
        <v>0</v>
      </c>
      <c r="R16" s="420">
        <f>'Pro 3'!I63/1000</f>
        <v>0</v>
      </c>
      <c r="S16" s="420">
        <f>'Pro 3'!J63/1000</f>
        <v>0</v>
      </c>
      <c r="T16" s="420">
        <f>'Pro 3'!K63/1000</f>
        <v>0</v>
      </c>
      <c r="U16" s="420">
        <f>'Pro 3'!L63/1000</f>
        <v>0</v>
      </c>
      <c r="V16" s="421"/>
      <c r="W16" s="429" t="str">
        <f t="shared" si="1"/>
        <v>Coûts indirects de production</v>
      </c>
      <c r="X16" s="410"/>
    </row>
    <row r="17" spans="2:24" x14ac:dyDescent="0.25">
      <c r="B17" s="413"/>
      <c r="C17" s="429" t="s">
        <v>477</v>
      </c>
      <c r="D17" s="429" t="s">
        <v>815</v>
      </c>
      <c r="E17" s="420">
        <f>'Pro 3'!H52/1000</f>
        <v>0</v>
      </c>
      <c r="F17" s="420">
        <f>'Pro 3'!I52/1000</f>
        <v>0</v>
      </c>
      <c r="G17" s="420">
        <f>'Pro 3'!J52/1000</f>
        <v>0</v>
      </c>
      <c r="H17" s="420">
        <f>'Pro 3'!K52/1000</f>
        <v>0</v>
      </c>
      <c r="I17" s="420">
        <f>'Pro 3'!L52/1000</f>
        <v>0</v>
      </c>
      <c r="J17" s="421"/>
      <c r="K17" s="429" t="str">
        <f t="shared" si="0"/>
        <v>Moins : Stock de clôture</v>
      </c>
      <c r="L17" s="410"/>
      <c r="M17" s="405"/>
      <c r="N17" s="413"/>
      <c r="O17" s="429" t="str">
        <f t="shared" si="2"/>
        <v>Less: ending inventory</v>
      </c>
      <c r="P17" s="429" t="str">
        <f t="shared" si="2"/>
        <v>Moins : Stock de clôture</v>
      </c>
      <c r="Q17" s="420">
        <f>'Pro 3'!H64/1000</f>
        <v>0</v>
      </c>
      <c r="R17" s="420">
        <f>'Pro 3'!I64/1000</f>
        <v>0</v>
      </c>
      <c r="S17" s="420">
        <f>'Pro 3'!J64/1000</f>
        <v>0</v>
      </c>
      <c r="T17" s="420">
        <f>'Pro 3'!K64/1000</f>
        <v>0</v>
      </c>
      <c r="U17" s="420">
        <f>'Pro 3'!L64/1000</f>
        <v>0</v>
      </c>
      <c r="V17" s="421"/>
      <c r="W17" s="429" t="str">
        <f t="shared" si="1"/>
        <v>Moins : Stock de clôture</v>
      </c>
      <c r="X17" s="410"/>
    </row>
    <row r="18" spans="2:24" x14ac:dyDescent="0.25">
      <c r="B18" s="413"/>
      <c r="C18" s="430" t="s">
        <v>479</v>
      </c>
      <c r="D18" s="430" t="s">
        <v>263</v>
      </c>
      <c r="E18" s="431">
        <f>(E13+E14+E15+E16)-E17</f>
        <v>0</v>
      </c>
      <c r="F18" s="431">
        <f t="shared" ref="F18:I18" si="3">(F13+F14+F15+F16)-F17</f>
        <v>0</v>
      </c>
      <c r="G18" s="431">
        <f t="shared" si="3"/>
        <v>0</v>
      </c>
      <c r="H18" s="431">
        <f t="shared" si="3"/>
        <v>0</v>
      </c>
      <c r="I18" s="431">
        <f t="shared" si="3"/>
        <v>0</v>
      </c>
      <c r="J18" s="425"/>
      <c r="K18" s="430" t="str">
        <f t="shared" si="0"/>
        <v>Coût des marchandises fabriquées</v>
      </c>
      <c r="L18" s="410"/>
      <c r="M18" s="405"/>
      <c r="N18" s="413"/>
      <c r="O18" s="430" t="str">
        <f t="shared" si="2"/>
        <v xml:space="preserve">Cost of goods manufactured </v>
      </c>
      <c r="P18" s="430" t="str">
        <f t="shared" si="2"/>
        <v>Coût des marchandises fabriquées</v>
      </c>
      <c r="Q18" s="431">
        <f>(Q13+Q14+Q15+Q16)-Q17</f>
        <v>0</v>
      </c>
      <c r="R18" s="431">
        <f t="shared" ref="R18:U18" si="4">(R13+R14+R15+R16)-R17</f>
        <v>0</v>
      </c>
      <c r="S18" s="431">
        <f t="shared" si="4"/>
        <v>0</v>
      </c>
      <c r="T18" s="431">
        <f t="shared" si="4"/>
        <v>0</v>
      </c>
      <c r="U18" s="431">
        <f t="shared" si="4"/>
        <v>0</v>
      </c>
      <c r="V18" s="425"/>
      <c r="W18" s="430" t="str">
        <f t="shared" si="1"/>
        <v>Coût des marchandises fabriquées</v>
      </c>
      <c r="X18" s="410"/>
    </row>
    <row r="19" spans="2:24" x14ac:dyDescent="0.25">
      <c r="B19" s="432"/>
      <c r="C19" s="408"/>
      <c r="D19" s="408"/>
      <c r="E19" s="424"/>
      <c r="F19" s="424"/>
      <c r="G19" s="424"/>
      <c r="H19" s="424"/>
      <c r="I19" s="424"/>
      <c r="J19" s="425"/>
      <c r="K19" s="408"/>
      <c r="L19" s="410"/>
      <c r="M19" s="405"/>
      <c r="N19" s="432"/>
      <c r="O19" s="408"/>
      <c r="P19" s="408"/>
      <c r="Q19" s="424"/>
      <c r="R19" s="424"/>
      <c r="S19" s="424"/>
      <c r="T19" s="424"/>
      <c r="U19" s="424"/>
      <c r="V19" s="425"/>
      <c r="W19" s="408"/>
      <c r="X19" s="410"/>
    </row>
    <row r="20" spans="2:24" x14ac:dyDescent="0.25">
      <c r="B20" s="413"/>
      <c r="C20" s="433" t="s">
        <v>816</v>
      </c>
      <c r="D20" s="433" t="s">
        <v>816</v>
      </c>
      <c r="E20" s="428"/>
      <c r="F20" s="428"/>
      <c r="G20" s="428"/>
      <c r="H20" s="428"/>
      <c r="I20" s="428"/>
      <c r="J20" s="421"/>
      <c r="K20" s="433" t="str">
        <f t="shared" si="0"/>
        <v>$/tonne</v>
      </c>
      <c r="L20" s="410"/>
      <c r="M20" s="405"/>
      <c r="N20" s="413"/>
      <c r="O20" s="433" t="str">
        <f>C20</f>
        <v>$/tonne</v>
      </c>
      <c r="P20" s="433" t="str">
        <f t="shared" ref="P20" si="5">D20</f>
        <v>$/tonne</v>
      </c>
      <c r="Q20" s="434"/>
      <c r="R20" s="428"/>
      <c r="S20" s="428"/>
      <c r="T20" s="428"/>
      <c r="U20" s="428"/>
      <c r="V20" s="421"/>
      <c r="W20" s="433" t="str">
        <f t="shared" si="1"/>
        <v>$/tonne</v>
      </c>
      <c r="X20" s="410"/>
    </row>
    <row r="21" spans="2:24" x14ac:dyDescent="0.25">
      <c r="B21" s="413"/>
      <c r="C21" s="435" t="str">
        <f t="shared" ref="C21:D26" si="6">C13</f>
        <v>Beginning inventory</v>
      </c>
      <c r="D21" s="435" t="str">
        <f t="shared" si="6"/>
        <v>Stock d'ouverture</v>
      </c>
      <c r="E21" s="436">
        <f>IF(OR(E$10="N/A",E13="N/A"),"N/A",IF(E$10=0,0,IF(ISERROR(E13/E$10),0,E13/E$10)))*1000</f>
        <v>0</v>
      </c>
      <c r="F21" s="436">
        <f t="shared" ref="E21:I26" si="7">IF(OR(F$10="N/A",F13="N/A"),"N/A",IF(F$10=0,0,IF(ISERROR(F13/F$10),0,F13/F$10)))*1000</f>
        <v>0</v>
      </c>
      <c r="G21" s="436">
        <f t="shared" si="7"/>
        <v>0</v>
      </c>
      <c r="H21" s="436">
        <f t="shared" si="7"/>
        <v>0</v>
      </c>
      <c r="I21" s="436">
        <f t="shared" si="7"/>
        <v>0</v>
      </c>
      <c r="J21" s="421"/>
      <c r="K21" s="435" t="str">
        <f t="shared" si="0"/>
        <v>Stock d'ouverture</v>
      </c>
      <c r="L21" s="410"/>
      <c r="M21" s="405"/>
      <c r="N21" s="413"/>
      <c r="O21" s="435" t="str">
        <f t="shared" ref="O21:P26" si="8">O13</f>
        <v>Beginning inventory</v>
      </c>
      <c r="P21" s="435" t="str">
        <f t="shared" si="8"/>
        <v>Stock d'ouverture</v>
      </c>
      <c r="Q21" s="436">
        <f t="shared" ref="Q21:U26" si="9">IF(OR(Q$10="N/A",Q13="N/A"),"N/A",IF(Q$10=0,0,IF(ISERROR(Q13/Q$10),0,Q13/Q$10)))*1000</f>
        <v>0</v>
      </c>
      <c r="R21" s="436">
        <f t="shared" si="9"/>
        <v>0</v>
      </c>
      <c r="S21" s="436">
        <f t="shared" si="9"/>
        <v>0</v>
      </c>
      <c r="T21" s="436">
        <f t="shared" si="9"/>
        <v>0</v>
      </c>
      <c r="U21" s="436">
        <f t="shared" si="9"/>
        <v>0</v>
      </c>
      <c r="V21" s="421"/>
      <c r="W21" s="435" t="str">
        <f t="shared" si="1"/>
        <v>Stock d'ouverture</v>
      </c>
      <c r="X21" s="410"/>
    </row>
    <row r="22" spans="2:24" x14ac:dyDescent="0.25">
      <c r="B22" s="413"/>
      <c r="C22" s="435" t="str">
        <f t="shared" si="6"/>
        <v xml:space="preserve">Direct materials used </v>
      </c>
      <c r="D22" s="435" t="str">
        <f t="shared" si="6"/>
        <v>Matériaux directs utilisés</v>
      </c>
      <c r="E22" s="436">
        <f t="shared" si="7"/>
        <v>0</v>
      </c>
      <c r="F22" s="436">
        <f t="shared" si="7"/>
        <v>0</v>
      </c>
      <c r="G22" s="436">
        <f t="shared" si="7"/>
        <v>0</v>
      </c>
      <c r="H22" s="436">
        <f t="shared" si="7"/>
        <v>0</v>
      </c>
      <c r="I22" s="436">
        <f t="shared" si="7"/>
        <v>0</v>
      </c>
      <c r="J22" s="421"/>
      <c r="K22" s="435" t="str">
        <f t="shared" si="0"/>
        <v>Matériaux directs utilisés</v>
      </c>
      <c r="L22" s="410"/>
      <c r="M22" s="405"/>
      <c r="N22" s="413"/>
      <c r="O22" s="435" t="str">
        <f t="shared" si="8"/>
        <v xml:space="preserve">Direct materials used </v>
      </c>
      <c r="P22" s="435" t="str">
        <f t="shared" si="8"/>
        <v>Matériaux directs utilisés</v>
      </c>
      <c r="Q22" s="436">
        <f>IF(OR(Q$10="N/A",Q14="N/A"),"N/A",IF(Q$10=0,0,IF(ISERROR(Q14/Q$10),0,Q14/Q$10)))*1000</f>
        <v>0</v>
      </c>
      <c r="R22" s="436">
        <f t="shared" si="9"/>
        <v>0</v>
      </c>
      <c r="S22" s="436">
        <f t="shared" si="9"/>
        <v>0</v>
      </c>
      <c r="T22" s="436">
        <f t="shared" si="9"/>
        <v>0</v>
      </c>
      <c r="U22" s="436">
        <f t="shared" si="9"/>
        <v>0</v>
      </c>
      <c r="V22" s="421"/>
      <c r="W22" s="435" t="str">
        <f t="shared" si="1"/>
        <v>Matériaux directs utilisés</v>
      </c>
      <c r="X22" s="410"/>
    </row>
    <row r="23" spans="2:24" x14ac:dyDescent="0.25">
      <c r="B23" s="413"/>
      <c r="C23" s="435" t="str">
        <f t="shared" si="6"/>
        <v>Direct labour</v>
      </c>
      <c r="D23" s="435" t="str">
        <f t="shared" si="6"/>
        <v>Emploi direct</v>
      </c>
      <c r="E23" s="436">
        <f t="shared" si="7"/>
        <v>0</v>
      </c>
      <c r="F23" s="436">
        <f t="shared" si="7"/>
        <v>0</v>
      </c>
      <c r="G23" s="436">
        <f t="shared" si="7"/>
        <v>0</v>
      </c>
      <c r="H23" s="436">
        <f t="shared" si="7"/>
        <v>0</v>
      </c>
      <c r="I23" s="436">
        <f t="shared" si="7"/>
        <v>0</v>
      </c>
      <c r="J23" s="421"/>
      <c r="K23" s="435" t="str">
        <f t="shared" si="0"/>
        <v>Emploi direct</v>
      </c>
      <c r="L23" s="410"/>
      <c r="M23" s="405"/>
      <c r="N23" s="413"/>
      <c r="O23" s="435" t="str">
        <f t="shared" si="8"/>
        <v>Direct labour</v>
      </c>
      <c r="P23" s="435" t="str">
        <f t="shared" si="8"/>
        <v>Emploi direct</v>
      </c>
      <c r="Q23" s="436">
        <f t="shared" si="9"/>
        <v>0</v>
      </c>
      <c r="R23" s="436">
        <f t="shared" si="9"/>
        <v>0</v>
      </c>
      <c r="S23" s="436">
        <f t="shared" si="9"/>
        <v>0</v>
      </c>
      <c r="T23" s="436">
        <f t="shared" si="9"/>
        <v>0</v>
      </c>
      <c r="U23" s="436">
        <f t="shared" si="9"/>
        <v>0</v>
      </c>
      <c r="V23" s="421"/>
      <c r="W23" s="435" t="str">
        <f t="shared" si="1"/>
        <v>Emploi direct</v>
      </c>
      <c r="X23" s="410"/>
    </row>
    <row r="24" spans="2:24" x14ac:dyDescent="0.25">
      <c r="B24" s="413"/>
      <c r="C24" s="435" t="str">
        <f t="shared" si="6"/>
        <v xml:space="preserve">Factory overhead </v>
      </c>
      <c r="D24" s="435" t="str">
        <f t="shared" si="6"/>
        <v>Coûts indirects de production</v>
      </c>
      <c r="E24" s="436">
        <f t="shared" si="7"/>
        <v>0</v>
      </c>
      <c r="F24" s="436">
        <f t="shared" si="7"/>
        <v>0</v>
      </c>
      <c r="G24" s="436">
        <f t="shared" si="7"/>
        <v>0</v>
      </c>
      <c r="H24" s="436">
        <f t="shared" si="7"/>
        <v>0</v>
      </c>
      <c r="I24" s="436">
        <f t="shared" si="7"/>
        <v>0</v>
      </c>
      <c r="J24" s="421"/>
      <c r="K24" s="435" t="str">
        <f t="shared" si="0"/>
        <v>Coûts indirects de production</v>
      </c>
      <c r="L24" s="410"/>
      <c r="M24" s="405"/>
      <c r="N24" s="413"/>
      <c r="O24" s="435" t="str">
        <f t="shared" si="8"/>
        <v xml:space="preserve">Factory overhead </v>
      </c>
      <c r="P24" s="435" t="str">
        <f t="shared" si="8"/>
        <v>Coûts indirects de production</v>
      </c>
      <c r="Q24" s="436">
        <f t="shared" si="9"/>
        <v>0</v>
      </c>
      <c r="R24" s="436">
        <f t="shared" si="9"/>
        <v>0</v>
      </c>
      <c r="S24" s="436">
        <f t="shared" si="9"/>
        <v>0</v>
      </c>
      <c r="T24" s="436">
        <f t="shared" si="9"/>
        <v>0</v>
      </c>
      <c r="U24" s="436">
        <f t="shared" si="9"/>
        <v>0</v>
      </c>
      <c r="V24" s="421"/>
      <c r="W24" s="435" t="str">
        <f t="shared" si="1"/>
        <v>Coûts indirects de production</v>
      </c>
      <c r="X24" s="410"/>
    </row>
    <row r="25" spans="2:24" x14ac:dyDescent="0.25">
      <c r="B25" s="413"/>
      <c r="C25" s="435" t="str">
        <f t="shared" si="6"/>
        <v>Less: ending inventory</v>
      </c>
      <c r="D25" s="435" t="str">
        <f t="shared" si="6"/>
        <v>Moins : Stock de clôture</v>
      </c>
      <c r="E25" s="436">
        <f t="shared" si="7"/>
        <v>0</v>
      </c>
      <c r="F25" s="436">
        <f t="shared" si="7"/>
        <v>0</v>
      </c>
      <c r="G25" s="436">
        <f t="shared" si="7"/>
        <v>0</v>
      </c>
      <c r="H25" s="436">
        <f t="shared" si="7"/>
        <v>0</v>
      </c>
      <c r="I25" s="436">
        <f t="shared" si="7"/>
        <v>0</v>
      </c>
      <c r="J25" s="421"/>
      <c r="K25" s="435" t="str">
        <f t="shared" si="0"/>
        <v>Moins : Stock de clôture</v>
      </c>
      <c r="L25" s="410"/>
      <c r="M25" s="405"/>
      <c r="N25" s="413"/>
      <c r="O25" s="435" t="str">
        <f t="shared" si="8"/>
        <v>Less: ending inventory</v>
      </c>
      <c r="P25" s="435" t="str">
        <f t="shared" si="8"/>
        <v>Moins : Stock de clôture</v>
      </c>
      <c r="Q25" s="436">
        <f t="shared" si="9"/>
        <v>0</v>
      </c>
      <c r="R25" s="436">
        <f t="shared" si="9"/>
        <v>0</v>
      </c>
      <c r="S25" s="436">
        <f t="shared" si="9"/>
        <v>0</v>
      </c>
      <c r="T25" s="436">
        <f t="shared" si="9"/>
        <v>0</v>
      </c>
      <c r="U25" s="436">
        <f t="shared" si="9"/>
        <v>0</v>
      </c>
      <c r="V25" s="421"/>
      <c r="W25" s="435" t="str">
        <f t="shared" si="1"/>
        <v>Moins : Stock de clôture</v>
      </c>
      <c r="X25" s="410"/>
    </row>
    <row r="26" spans="2:24" x14ac:dyDescent="0.25">
      <c r="B26" s="413"/>
      <c r="C26" s="430" t="str">
        <f t="shared" si="6"/>
        <v xml:space="preserve">Cost of goods manufactured </v>
      </c>
      <c r="D26" s="430" t="str">
        <f t="shared" si="6"/>
        <v>Coût des marchandises fabriquées</v>
      </c>
      <c r="E26" s="431">
        <f t="shared" si="7"/>
        <v>0</v>
      </c>
      <c r="F26" s="431">
        <f t="shared" si="7"/>
        <v>0</v>
      </c>
      <c r="G26" s="431">
        <f t="shared" si="7"/>
        <v>0</v>
      </c>
      <c r="H26" s="431">
        <f t="shared" si="7"/>
        <v>0</v>
      </c>
      <c r="I26" s="431">
        <f t="shared" si="7"/>
        <v>0</v>
      </c>
      <c r="J26" s="425"/>
      <c r="K26" s="430" t="str">
        <f t="shared" si="0"/>
        <v>Coût des marchandises fabriquées</v>
      </c>
      <c r="L26" s="410"/>
      <c r="M26" s="405"/>
      <c r="N26" s="413"/>
      <c r="O26" s="430" t="str">
        <f t="shared" si="8"/>
        <v xml:space="preserve">Cost of goods manufactured </v>
      </c>
      <c r="P26" s="430" t="str">
        <f t="shared" si="8"/>
        <v>Coût des marchandises fabriquées</v>
      </c>
      <c r="Q26" s="431">
        <f t="shared" si="9"/>
        <v>0</v>
      </c>
      <c r="R26" s="431">
        <f t="shared" si="9"/>
        <v>0</v>
      </c>
      <c r="S26" s="431">
        <f t="shared" si="9"/>
        <v>0</v>
      </c>
      <c r="T26" s="431">
        <f t="shared" si="9"/>
        <v>0</v>
      </c>
      <c r="U26" s="431">
        <f t="shared" si="9"/>
        <v>0</v>
      </c>
      <c r="V26" s="425"/>
      <c r="W26" s="430" t="str">
        <f t="shared" si="1"/>
        <v>Coût des marchandises fabriquées</v>
      </c>
      <c r="X26" s="410"/>
    </row>
    <row r="27" spans="2:24" x14ac:dyDescent="0.25">
      <c r="B27" s="432"/>
      <c r="C27" s="408"/>
      <c r="D27" s="408"/>
      <c r="E27" s="424"/>
      <c r="F27" s="424"/>
      <c r="G27" s="424"/>
      <c r="H27" s="424"/>
      <c r="I27" s="424"/>
      <c r="J27" s="425"/>
      <c r="K27" s="408"/>
      <c r="L27" s="410"/>
      <c r="M27" s="405"/>
      <c r="N27" s="432"/>
      <c r="O27" s="408"/>
      <c r="P27" s="408"/>
      <c r="Q27" s="424"/>
      <c r="R27" s="424"/>
      <c r="S27" s="424"/>
      <c r="T27" s="424"/>
      <c r="U27" s="424"/>
      <c r="V27" s="425"/>
      <c r="W27" s="408"/>
      <c r="X27" s="410"/>
    </row>
    <row r="28" spans="2:24" x14ac:dyDescent="0.25">
      <c r="B28" s="432"/>
      <c r="C28" s="415" t="s">
        <v>480</v>
      </c>
      <c r="D28" s="415" t="s">
        <v>817</v>
      </c>
      <c r="E28" s="424"/>
      <c r="F28" s="424"/>
      <c r="G28" s="424"/>
      <c r="H28" s="424"/>
      <c r="I28" s="424"/>
      <c r="J28" s="425"/>
      <c r="K28" s="415" t="str">
        <f t="shared" si="0"/>
        <v>État des résultats</v>
      </c>
      <c r="L28" s="410"/>
      <c r="M28" s="405"/>
      <c r="N28" s="432"/>
      <c r="O28" s="415" t="str">
        <f>C28</f>
        <v>Income statement</v>
      </c>
      <c r="P28" s="415" t="str">
        <f>D28</f>
        <v>État des résultats</v>
      </c>
      <c r="Q28" s="424"/>
      <c r="R28" s="424"/>
      <c r="S28" s="424"/>
      <c r="T28" s="424"/>
      <c r="U28" s="424"/>
      <c r="V28" s="425"/>
      <c r="W28" s="415" t="str">
        <f t="shared" si="1"/>
        <v>État des résultats</v>
      </c>
      <c r="X28" s="410"/>
    </row>
    <row r="29" spans="2:24" x14ac:dyDescent="0.25">
      <c r="B29" s="432"/>
      <c r="C29" s="415"/>
      <c r="D29" s="415"/>
      <c r="E29" s="424"/>
      <c r="F29" s="424"/>
      <c r="G29" s="424"/>
      <c r="H29" s="424"/>
      <c r="I29" s="424"/>
      <c r="J29" s="425"/>
      <c r="K29" s="415"/>
      <c r="L29" s="410"/>
      <c r="M29" s="405"/>
      <c r="N29" s="432"/>
      <c r="O29" s="415"/>
      <c r="P29" s="415"/>
      <c r="Q29" s="424"/>
      <c r="R29" s="424"/>
      <c r="S29" s="424"/>
      <c r="T29" s="424"/>
      <c r="U29" s="424"/>
      <c r="V29" s="425"/>
      <c r="W29" s="415"/>
      <c r="X29" s="410"/>
    </row>
    <row r="30" spans="2:24" x14ac:dyDescent="0.25">
      <c r="B30" s="413"/>
      <c r="C30" s="437" t="s">
        <v>481</v>
      </c>
      <c r="D30" s="437" t="s">
        <v>818</v>
      </c>
      <c r="E30" s="420">
        <f>SUM('Pro 2'!H29,'Pro 2'!H35)</f>
        <v>0</v>
      </c>
      <c r="F30" s="420">
        <f>SUM('Pro 2'!I29,'Pro 2'!I35)</f>
        <v>0</v>
      </c>
      <c r="G30" s="420">
        <f>SUM('Pro 2'!J29,'Pro 2'!J35)</f>
        <v>0</v>
      </c>
      <c r="H30" s="420">
        <f>SUM('Pro 2'!K29,'Pro 2'!K35)</f>
        <v>0</v>
      </c>
      <c r="I30" s="420">
        <f>SUM('Pro 2'!L29,'Pro 2'!L35)</f>
        <v>0</v>
      </c>
      <c r="J30" s="421"/>
      <c r="K30" s="437" t="str">
        <f t="shared" si="0"/>
        <v>Volume de ventes nettes (tonnes)</v>
      </c>
      <c r="L30" s="410"/>
      <c r="M30" s="405"/>
      <c r="N30" s="413"/>
      <c r="O30" s="437" t="str">
        <f>C30</f>
        <v>Net sales volume (tonnes)</v>
      </c>
      <c r="P30" s="437" t="str">
        <f>D30</f>
        <v>Volume de ventes nettes (tonnes)</v>
      </c>
      <c r="Q30" s="420">
        <f>'Pro 2'!H41</f>
        <v>0</v>
      </c>
      <c r="R30" s="420">
        <f>'Pro 2'!I41</f>
        <v>0</v>
      </c>
      <c r="S30" s="420">
        <f>'Pro 2'!J41</f>
        <v>0</v>
      </c>
      <c r="T30" s="420">
        <f>'Pro 2'!K41</f>
        <v>0</v>
      </c>
      <c r="U30" s="420">
        <f>'Pro 2'!L41</f>
        <v>0</v>
      </c>
      <c r="V30" s="421"/>
      <c r="W30" s="437" t="str">
        <f t="shared" si="1"/>
        <v>Volume de ventes nettes (tonnes)</v>
      </c>
      <c r="X30" s="410"/>
    </row>
    <row r="31" spans="2:24" x14ac:dyDescent="0.25">
      <c r="B31" s="432"/>
      <c r="C31" s="415"/>
      <c r="D31" s="415"/>
      <c r="E31" s="424"/>
      <c r="F31" s="424"/>
      <c r="G31" s="424"/>
      <c r="H31" s="424"/>
      <c r="I31" s="424"/>
      <c r="J31" s="425"/>
      <c r="K31" s="415"/>
      <c r="L31" s="410"/>
      <c r="M31" s="405"/>
      <c r="N31" s="432"/>
      <c r="O31" s="415"/>
      <c r="P31" s="415"/>
      <c r="Q31" s="424"/>
      <c r="R31" s="424"/>
      <c r="S31" s="424"/>
      <c r="T31" s="424"/>
      <c r="U31" s="424"/>
      <c r="V31" s="425"/>
      <c r="W31" s="415"/>
      <c r="X31" s="410"/>
    </row>
    <row r="32" spans="2:24" x14ac:dyDescent="0.25">
      <c r="B32" s="413"/>
      <c r="C32" s="418" t="s">
        <v>470</v>
      </c>
      <c r="D32" s="418" t="s">
        <v>812</v>
      </c>
      <c r="E32" s="428"/>
      <c r="F32" s="428"/>
      <c r="G32" s="428"/>
      <c r="H32" s="428"/>
      <c r="I32" s="428"/>
      <c r="J32" s="421"/>
      <c r="K32" s="418" t="str">
        <f t="shared" si="0"/>
        <v>000 $</v>
      </c>
      <c r="L32" s="410"/>
      <c r="M32" s="405"/>
      <c r="N32" s="413"/>
      <c r="O32" s="418" t="str">
        <f t="shared" ref="O32:P42" si="10">C32</f>
        <v>$000</v>
      </c>
      <c r="P32" s="418" t="str">
        <f t="shared" si="10"/>
        <v>000 $</v>
      </c>
      <c r="Q32" s="428"/>
      <c r="R32" s="428"/>
      <c r="S32" s="428"/>
      <c r="T32" s="428"/>
      <c r="U32" s="428"/>
      <c r="V32" s="421"/>
      <c r="W32" s="418" t="str">
        <f t="shared" si="1"/>
        <v>000 $</v>
      </c>
      <c r="X32" s="410"/>
    </row>
    <row r="33" spans="2:24" x14ac:dyDescent="0.25">
      <c r="B33" s="432"/>
      <c r="C33" s="438" t="s">
        <v>390</v>
      </c>
      <c r="D33" s="438" t="s">
        <v>819</v>
      </c>
      <c r="E33" s="439">
        <f>'Pro 3'!G199/1000</f>
        <v>0</v>
      </c>
      <c r="F33" s="439">
        <f>'Pro 3'!H199/1000</f>
        <v>0</v>
      </c>
      <c r="G33" s="439">
        <f>'Pro 3'!I199/1000</f>
        <v>0</v>
      </c>
      <c r="H33" s="439">
        <f>'Pro 3'!J199/1000</f>
        <v>0</v>
      </c>
      <c r="I33" s="439">
        <f>'Pro 3'!K199/1000</f>
        <v>0</v>
      </c>
      <c r="J33" s="425"/>
      <c r="K33" s="438" t="str">
        <f t="shared" si="0"/>
        <v>Valeur des ventes nettes</v>
      </c>
      <c r="L33" s="410"/>
      <c r="M33" s="405"/>
      <c r="N33" s="432"/>
      <c r="O33" s="438" t="str">
        <f t="shared" si="10"/>
        <v>Net sales value</v>
      </c>
      <c r="P33" s="438" t="str">
        <f t="shared" si="10"/>
        <v>Valeur des ventes nettes</v>
      </c>
      <c r="Q33" s="439">
        <f>'Pro 3'!G213/1000</f>
        <v>0</v>
      </c>
      <c r="R33" s="439">
        <f>'Pro 3'!H213/1000</f>
        <v>0</v>
      </c>
      <c r="S33" s="439">
        <f>'Pro 3'!I213/1000</f>
        <v>0</v>
      </c>
      <c r="T33" s="439">
        <f>'Pro 3'!J213/1000</f>
        <v>0</v>
      </c>
      <c r="U33" s="439">
        <f>'Pro 3'!K213/1000</f>
        <v>0</v>
      </c>
      <c r="V33" s="425"/>
      <c r="W33" s="438" t="str">
        <f t="shared" si="1"/>
        <v>Valeur des ventes nettes</v>
      </c>
      <c r="X33" s="410"/>
    </row>
    <row r="34" spans="2:24" x14ac:dyDescent="0.25">
      <c r="B34" s="413"/>
      <c r="C34" s="440" t="s">
        <v>167</v>
      </c>
      <c r="D34" s="440" t="s">
        <v>75</v>
      </c>
      <c r="E34" s="420">
        <f>'Pro 3'!G200/1000</f>
        <v>0</v>
      </c>
      <c r="F34" s="420">
        <f>'Pro 3'!H200/1000</f>
        <v>0</v>
      </c>
      <c r="G34" s="420">
        <f>'Pro 3'!I200/1000</f>
        <v>0</v>
      </c>
      <c r="H34" s="420">
        <f>'Pro 3'!J200/1000</f>
        <v>0</v>
      </c>
      <c r="I34" s="420">
        <f>'Pro 3'!K200/1000</f>
        <v>0</v>
      </c>
      <c r="J34" s="421"/>
      <c r="K34" s="440" t="str">
        <f t="shared" si="0"/>
        <v>Stock d'ouverture</v>
      </c>
      <c r="L34" s="410"/>
      <c r="M34" s="405"/>
      <c r="N34" s="413"/>
      <c r="O34" s="440" t="str">
        <f t="shared" si="10"/>
        <v>Beginning inventory</v>
      </c>
      <c r="P34" s="440" t="str">
        <f t="shared" si="10"/>
        <v>Stock d'ouverture</v>
      </c>
      <c r="Q34" s="420">
        <f>'Pro 3'!G214/1000</f>
        <v>0</v>
      </c>
      <c r="R34" s="420">
        <f>'Pro 3'!H214/1000</f>
        <v>0</v>
      </c>
      <c r="S34" s="420">
        <f>'Pro 3'!I214/1000</f>
        <v>0</v>
      </c>
      <c r="T34" s="420">
        <f>'Pro 3'!J214/1000</f>
        <v>0</v>
      </c>
      <c r="U34" s="420">
        <f>'Pro 3'!K214/1000</f>
        <v>0</v>
      </c>
      <c r="V34" s="421"/>
      <c r="W34" s="440" t="str">
        <f t="shared" si="1"/>
        <v>Stock d'ouverture</v>
      </c>
      <c r="X34" s="410"/>
    </row>
    <row r="35" spans="2:24" x14ac:dyDescent="0.25">
      <c r="B35" s="413"/>
      <c r="C35" s="441" t="s">
        <v>479</v>
      </c>
      <c r="D35" s="441" t="s">
        <v>263</v>
      </c>
      <c r="E35" s="436">
        <f>E18</f>
        <v>0</v>
      </c>
      <c r="F35" s="436">
        <f t="shared" ref="F35:I35" si="11">F18</f>
        <v>0</v>
      </c>
      <c r="G35" s="436">
        <f t="shared" si="11"/>
        <v>0</v>
      </c>
      <c r="H35" s="436">
        <f t="shared" si="11"/>
        <v>0</v>
      </c>
      <c r="I35" s="436">
        <f t="shared" si="11"/>
        <v>0</v>
      </c>
      <c r="J35" s="421"/>
      <c r="K35" s="441" t="str">
        <f t="shared" si="0"/>
        <v>Coût des marchandises fabriquées</v>
      </c>
      <c r="L35" s="410"/>
      <c r="M35" s="405"/>
      <c r="N35" s="413"/>
      <c r="O35" s="441" t="str">
        <f t="shared" si="10"/>
        <v xml:space="preserve">Cost of goods manufactured </v>
      </c>
      <c r="P35" s="441" t="str">
        <f t="shared" si="10"/>
        <v>Coût des marchandises fabriquées</v>
      </c>
      <c r="Q35" s="436">
        <f>Q18</f>
        <v>0</v>
      </c>
      <c r="R35" s="436">
        <f t="shared" ref="R35:U35" si="12">R18</f>
        <v>0</v>
      </c>
      <c r="S35" s="436">
        <f t="shared" si="12"/>
        <v>0</v>
      </c>
      <c r="T35" s="436">
        <f t="shared" si="12"/>
        <v>0</v>
      </c>
      <c r="U35" s="436">
        <f t="shared" si="12"/>
        <v>0</v>
      </c>
      <c r="V35" s="421"/>
      <c r="W35" s="441" t="str">
        <f t="shared" si="1"/>
        <v>Coût des marchandises fabriquées</v>
      </c>
      <c r="X35" s="410"/>
    </row>
    <row r="36" spans="2:24" x14ac:dyDescent="0.25">
      <c r="B36" s="413"/>
      <c r="C36" s="441" t="s">
        <v>168</v>
      </c>
      <c r="D36" s="441" t="s">
        <v>629</v>
      </c>
      <c r="E36" s="420">
        <f>'Pro 3'!G202/1000</f>
        <v>0</v>
      </c>
      <c r="F36" s="420">
        <f>'Pro 3'!H202/1000</f>
        <v>0</v>
      </c>
      <c r="G36" s="420">
        <f>'Pro 3'!I202/1000</f>
        <v>0</v>
      </c>
      <c r="H36" s="420">
        <f>'Pro 3'!J202/1000</f>
        <v>0</v>
      </c>
      <c r="I36" s="420">
        <f>'Pro 3'!K202/1000</f>
        <v>0</v>
      </c>
      <c r="J36" s="421"/>
      <c r="K36" s="441" t="str">
        <f t="shared" si="0"/>
        <v>Stock de clôture</v>
      </c>
      <c r="L36" s="442"/>
      <c r="M36" s="443"/>
      <c r="N36" s="413"/>
      <c r="O36" s="441" t="str">
        <f t="shared" si="10"/>
        <v>Ending inventory</v>
      </c>
      <c r="P36" s="441" t="str">
        <f t="shared" si="10"/>
        <v>Stock de clôture</v>
      </c>
      <c r="Q36" s="420">
        <f>'Pro 3'!G216/1000</f>
        <v>0</v>
      </c>
      <c r="R36" s="420">
        <f>'Pro 3'!H216/1000</f>
        <v>0</v>
      </c>
      <c r="S36" s="420">
        <f>'Pro 3'!I216/1000</f>
        <v>0</v>
      </c>
      <c r="T36" s="420">
        <f>'Pro 3'!J216/1000</f>
        <v>0</v>
      </c>
      <c r="U36" s="420">
        <f>'Pro 3'!K216/1000</f>
        <v>0</v>
      </c>
      <c r="V36" s="421"/>
      <c r="W36" s="441" t="str">
        <f t="shared" si="1"/>
        <v>Stock de clôture</v>
      </c>
      <c r="X36" s="442"/>
    </row>
    <row r="37" spans="2:24" x14ac:dyDescent="0.25">
      <c r="B37" s="413"/>
      <c r="C37" s="441" t="s">
        <v>384</v>
      </c>
      <c r="D37" s="441" t="s">
        <v>50</v>
      </c>
      <c r="E37" s="436">
        <f t="shared" ref="E37:I37" si="13">(E34+E35)-E36</f>
        <v>0</v>
      </c>
      <c r="F37" s="436">
        <f t="shared" si="13"/>
        <v>0</v>
      </c>
      <c r="G37" s="436">
        <f t="shared" si="13"/>
        <v>0</v>
      </c>
      <c r="H37" s="436">
        <f t="shared" si="13"/>
        <v>0</v>
      </c>
      <c r="I37" s="436">
        <f t="shared" si="13"/>
        <v>0</v>
      </c>
      <c r="J37" s="421"/>
      <c r="K37" s="441" t="str">
        <f t="shared" si="0"/>
        <v>Coût des marchandises vendues</v>
      </c>
      <c r="L37" s="410"/>
      <c r="M37" s="405"/>
      <c r="N37" s="413"/>
      <c r="O37" s="441" t="str">
        <f t="shared" si="10"/>
        <v>Cost of goods sold</v>
      </c>
      <c r="P37" s="441" t="str">
        <f t="shared" si="10"/>
        <v>Coût des marchandises vendues</v>
      </c>
      <c r="Q37" s="436">
        <f>(Q34+Q35)-Q36</f>
        <v>0</v>
      </c>
      <c r="R37" s="436">
        <f t="shared" ref="R37:U37" si="14">(R34+R35)-R36</f>
        <v>0</v>
      </c>
      <c r="S37" s="436">
        <f t="shared" si="14"/>
        <v>0</v>
      </c>
      <c r="T37" s="436">
        <f t="shared" si="14"/>
        <v>0</v>
      </c>
      <c r="U37" s="436">
        <f t="shared" si="14"/>
        <v>0</v>
      </c>
      <c r="V37" s="421"/>
      <c r="W37" s="441" t="str">
        <f t="shared" si="1"/>
        <v>Coût des marchandises vendues</v>
      </c>
      <c r="X37" s="410"/>
    </row>
    <row r="38" spans="2:24" x14ac:dyDescent="0.25">
      <c r="B38" s="432"/>
      <c r="C38" s="438" t="s">
        <v>473</v>
      </c>
      <c r="D38" s="438" t="s">
        <v>820</v>
      </c>
      <c r="E38" s="431">
        <f t="shared" ref="E38:I38" si="15">E33-E37</f>
        <v>0</v>
      </c>
      <c r="F38" s="431">
        <f t="shared" si="15"/>
        <v>0</v>
      </c>
      <c r="G38" s="431">
        <f t="shared" si="15"/>
        <v>0</v>
      </c>
      <c r="H38" s="431">
        <f t="shared" si="15"/>
        <v>0</v>
      </c>
      <c r="I38" s="431">
        <f t="shared" si="15"/>
        <v>0</v>
      </c>
      <c r="J38" s="425"/>
      <c r="K38" s="438" t="str">
        <f t="shared" si="0"/>
        <v>Marge bénéficiaire brute (pertes)</v>
      </c>
      <c r="L38" s="442"/>
      <c r="M38" s="443"/>
      <c r="N38" s="432"/>
      <c r="O38" s="438" t="str">
        <f t="shared" si="10"/>
        <v>Gross margin (loss)</v>
      </c>
      <c r="P38" s="438" t="str">
        <f t="shared" si="10"/>
        <v>Marge bénéficiaire brute (pertes)</v>
      </c>
      <c r="Q38" s="431">
        <f>Q33-Q37</f>
        <v>0</v>
      </c>
      <c r="R38" s="431">
        <f t="shared" ref="R38:U38" si="16">R33-R37</f>
        <v>0</v>
      </c>
      <c r="S38" s="431">
        <f t="shared" si="16"/>
        <v>0</v>
      </c>
      <c r="T38" s="431">
        <f t="shared" si="16"/>
        <v>0</v>
      </c>
      <c r="U38" s="431">
        <f t="shared" si="16"/>
        <v>0</v>
      </c>
      <c r="V38" s="425"/>
      <c r="W38" s="438" t="str">
        <f t="shared" si="1"/>
        <v>Marge bénéficiaire brute (pertes)</v>
      </c>
      <c r="X38" s="442"/>
    </row>
    <row r="39" spans="2:24" ht="15" customHeight="1" x14ac:dyDescent="0.25">
      <c r="B39" s="413"/>
      <c r="C39" s="444" t="s">
        <v>387</v>
      </c>
      <c r="D39" s="444" t="s">
        <v>821</v>
      </c>
      <c r="E39" s="420">
        <f>'Pro 3'!G205/1000</f>
        <v>0</v>
      </c>
      <c r="F39" s="420">
        <f>'Pro 3'!H205/1000</f>
        <v>0</v>
      </c>
      <c r="G39" s="420">
        <f>'Pro 3'!I205/1000</f>
        <v>0</v>
      </c>
      <c r="H39" s="420">
        <f>'Pro 3'!J205/1000</f>
        <v>0</v>
      </c>
      <c r="I39" s="420">
        <f>'Pro 3'!K205/1000</f>
        <v>0</v>
      </c>
      <c r="J39" s="421"/>
      <c r="K39" s="444" t="str">
        <f t="shared" si="0"/>
        <v>Frais généraux, de vente et d’administration</v>
      </c>
      <c r="L39" s="410"/>
      <c r="M39" s="405"/>
      <c r="N39" s="413"/>
      <c r="O39" s="444" t="str">
        <f t="shared" si="10"/>
        <v>General, selling and administrative expenses</v>
      </c>
      <c r="P39" s="444" t="str">
        <f t="shared" si="10"/>
        <v>Frais généraux, de vente et d’administration</v>
      </c>
      <c r="Q39" s="420">
        <f>'Pro 3'!G219/1000</f>
        <v>0</v>
      </c>
      <c r="R39" s="420">
        <f>'Pro 3'!H219/1000</f>
        <v>0</v>
      </c>
      <c r="S39" s="420">
        <f>'Pro 3'!I219/1000</f>
        <v>0</v>
      </c>
      <c r="T39" s="420">
        <f>'Pro 3'!J219/1000</f>
        <v>0</v>
      </c>
      <c r="U39" s="420">
        <f>'Pro 3'!K219/1000</f>
        <v>0</v>
      </c>
      <c r="V39" s="421"/>
      <c r="W39" s="444" t="str">
        <f t="shared" si="1"/>
        <v>Frais généraux, de vente et d’administration</v>
      </c>
      <c r="X39" s="410"/>
    </row>
    <row r="40" spans="2:24" x14ac:dyDescent="0.25">
      <c r="B40" s="413"/>
      <c r="C40" s="441" t="s">
        <v>386</v>
      </c>
      <c r="D40" s="441" t="s">
        <v>56</v>
      </c>
      <c r="E40" s="420">
        <f>'Pro 3'!G206/1000</f>
        <v>0</v>
      </c>
      <c r="F40" s="420">
        <f>'Pro 3'!H206/1000</f>
        <v>0</v>
      </c>
      <c r="G40" s="420">
        <f>'Pro 3'!I206/1000</f>
        <v>0</v>
      </c>
      <c r="H40" s="420">
        <f>'Pro 3'!J206/1000</f>
        <v>0</v>
      </c>
      <c r="I40" s="420">
        <f>'Pro 3'!K206/1000</f>
        <v>0</v>
      </c>
      <c r="J40" s="421"/>
      <c r="K40" s="441" t="str">
        <f t="shared" si="0"/>
        <v>Charges financières</v>
      </c>
      <c r="L40" s="410"/>
      <c r="M40" s="405"/>
      <c r="N40" s="413"/>
      <c r="O40" s="441" t="str">
        <f t="shared" si="10"/>
        <v>Financial expenses</v>
      </c>
      <c r="P40" s="441" t="str">
        <f t="shared" si="10"/>
        <v>Charges financières</v>
      </c>
      <c r="Q40" s="420">
        <f>'Pro 3'!G220/1000</f>
        <v>0</v>
      </c>
      <c r="R40" s="420">
        <f>'Pro 3'!H220/1000</f>
        <v>0</v>
      </c>
      <c r="S40" s="420">
        <f>'Pro 3'!I220/1000</f>
        <v>0</v>
      </c>
      <c r="T40" s="420">
        <f>'Pro 3'!J220/1000</f>
        <v>0</v>
      </c>
      <c r="U40" s="420">
        <f>'Pro 3'!K220/1000</f>
        <v>0</v>
      </c>
      <c r="V40" s="421"/>
      <c r="W40" s="441" t="str">
        <f t="shared" si="1"/>
        <v>Charges financières</v>
      </c>
      <c r="X40" s="410"/>
    </row>
    <row r="41" spans="2:24" x14ac:dyDescent="0.25">
      <c r="B41" s="413"/>
      <c r="C41" s="441" t="s">
        <v>476</v>
      </c>
      <c r="D41" s="441" t="s">
        <v>117</v>
      </c>
      <c r="E41" s="420">
        <f>'Pro 3'!G207/1000</f>
        <v>0</v>
      </c>
      <c r="F41" s="420">
        <f>'Pro 3'!H207/1000</f>
        <v>0</v>
      </c>
      <c r="G41" s="420">
        <f>'Pro 3'!I207/1000</f>
        <v>0</v>
      </c>
      <c r="H41" s="420">
        <f>'Pro 3'!J207/1000</f>
        <v>0</v>
      </c>
      <c r="I41" s="420">
        <f>'Pro 3'!K207/1000</f>
        <v>0</v>
      </c>
      <c r="J41" s="421"/>
      <c r="K41" s="441" t="str">
        <f>D41</f>
        <v>Autres dépenses</v>
      </c>
      <c r="L41" s="410"/>
      <c r="M41" s="405"/>
      <c r="N41" s="413"/>
      <c r="O41" s="441" t="str">
        <f>C41</f>
        <v>Other expenses</v>
      </c>
      <c r="P41" s="441" t="str">
        <f>D41</f>
        <v>Autres dépenses</v>
      </c>
      <c r="Q41" s="420">
        <f>'Pro 3'!G221/1000</f>
        <v>0</v>
      </c>
      <c r="R41" s="420">
        <f>'Pro 3'!H221/1000</f>
        <v>0</v>
      </c>
      <c r="S41" s="420">
        <f>'Pro 3'!I221/1000</f>
        <v>0</v>
      </c>
      <c r="T41" s="420">
        <f>'Pro 3'!J221/1000</f>
        <v>0</v>
      </c>
      <c r="U41" s="420">
        <f>'Pro 3'!K221/1000</f>
        <v>0</v>
      </c>
      <c r="V41" s="421"/>
      <c r="W41" s="441" t="str">
        <f>P41</f>
        <v>Autres dépenses</v>
      </c>
      <c r="X41" s="410"/>
    </row>
    <row r="42" spans="2:24" x14ac:dyDescent="0.25">
      <c r="B42" s="432"/>
      <c r="C42" s="438" t="s">
        <v>478</v>
      </c>
      <c r="D42" s="438" t="s">
        <v>822</v>
      </c>
      <c r="E42" s="431">
        <f>E38-E39-E40-E41</f>
        <v>0</v>
      </c>
      <c r="F42" s="431">
        <f>F38-F39-F40-F41</f>
        <v>0</v>
      </c>
      <c r="G42" s="431">
        <f>G38-G39-G40-G41</f>
        <v>0</v>
      </c>
      <c r="H42" s="431">
        <f>H38-H39-H40-H41</f>
        <v>0</v>
      </c>
      <c r="I42" s="431">
        <f>I38-I39-I40-I41</f>
        <v>0</v>
      </c>
      <c r="J42" s="425"/>
      <c r="K42" s="438" t="str">
        <f t="shared" si="0"/>
        <v>Revenus nets (pertes) avant impôt</v>
      </c>
      <c r="L42" s="410"/>
      <c r="M42" s="405"/>
      <c r="N42" s="432"/>
      <c r="O42" s="438" t="str">
        <f t="shared" si="10"/>
        <v>Net income (loss) before taxes</v>
      </c>
      <c r="P42" s="438" t="str">
        <f t="shared" si="10"/>
        <v>Revenus nets (pertes) avant impôt</v>
      </c>
      <c r="Q42" s="431">
        <f>Q38-Q39-Q40-Q41</f>
        <v>0</v>
      </c>
      <c r="R42" s="431">
        <f>R38-R39-R40-R41</f>
        <v>0</v>
      </c>
      <c r="S42" s="431">
        <f>S38-S39-S40-S41</f>
        <v>0</v>
      </c>
      <c r="T42" s="431">
        <f>T38-T39-T40-T41</f>
        <v>0</v>
      </c>
      <c r="U42" s="431">
        <f>U38-U39-U40-U41</f>
        <v>0</v>
      </c>
      <c r="V42" s="425"/>
      <c r="W42" s="438" t="str">
        <f t="shared" si="1"/>
        <v>Revenus nets (pertes) avant impôt</v>
      </c>
      <c r="X42" s="410"/>
    </row>
    <row r="43" spans="2:24" x14ac:dyDescent="0.25">
      <c r="B43" s="432"/>
      <c r="C43" s="408"/>
      <c r="D43" s="408"/>
      <c r="E43" s="424"/>
      <c r="F43" s="424"/>
      <c r="G43" s="424"/>
      <c r="H43" s="424"/>
      <c r="I43" s="424"/>
      <c r="J43" s="425"/>
      <c r="K43" s="408"/>
      <c r="L43" s="410"/>
      <c r="M43" s="405"/>
      <c r="N43" s="432"/>
      <c r="O43" s="408"/>
      <c r="P43" s="408"/>
      <c r="Q43" s="424"/>
      <c r="R43" s="424"/>
      <c r="S43" s="424"/>
      <c r="T43" s="424"/>
      <c r="U43" s="424"/>
      <c r="V43" s="425"/>
      <c r="W43" s="408"/>
      <c r="X43" s="410"/>
    </row>
    <row r="44" spans="2:24" x14ac:dyDescent="0.25">
      <c r="B44" s="413"/>
      <c r="C44" s="433" t="str">
        <f>C20</f>
        <v>$/tonne</v>
      </c>
      <c r="D44" s="433" t="str">
        <f>D20</f>
        <v>$/tonne</v>
      </c>
      <c r="E44" s="428"/>
      <c r="F44" s="428"/>
      <c r="G44" s="428"/>
      <c r="H44" s="428"/>
      <c r="I44" s="428"/>
      <c r="J44" s="421"/>
      <c r="K44" s="433" t="str">
        <f t="shared" si="0"/>
        <v>$/tonne</v>
      </c>
      <c r="L44" s="410"/>
      <c r="M44" s="405"/>
      <c r="N44" s="413"/>
      <c r="O44" s="433" t="str">
        <f>O20</f>
        <v>$/tonne</v>
      </c>
      <c r="P44" s="433" t="str">
        <f>P20</f>
        <v>$/tonne</v>
      </c>
      <c r="Q44" s="428"/>
      <c r="R44" s="428"/>
      <c r="S44" s="428"/>
      <c r="T44" s="428"/>
      <c r="U44" s="428"/>
      <c r="V44" s="421"/>
      <c r="W44" s="433" t="str">
        <f t="shared" si="1"/>
        <v>$/tonne</v>
      </c>
      <c r="X44" s="410"/>
    </row>
    <row r="45" spans="2:24" x14ac:dyDescent="0.25">
      <c r="B45" s="432"/>
      <c r="C45" s="438" t="str">
        <f t="shared" ref="C45:D54" si="17">C33</f>
        <v>Net sales value</v>
      </c>
      <c r="D45" s="438" t="str">
        <f t="shared" si="17"/>
        <v>Valeur des ventes nettes</v>
      </c>
      <c r="E45" s="436">
        <f t="shared" ref="E45:I54" si="18">IF(OR(E$30="N/A",E33="N/A"),"N/A",IF(E$30=0,0,IF(ISERROR(E33/E$30),0,E33/E$30)))*1000</f>
        <v>0</v>
      </c>
      <c r="F45" s="436">
        <f t="shared" si="18"/>
        <v>0</v>
      </c>
      <c r="G45" s="436">
        <f t="shared" si="18"/>
        <v>0</v>
      </c>
      <c r="H45" s="436">
        <f t="shared" si="18"/>
        <v>0</v>
      </c>
      <c r="I45" s="436">
        <f t="shared" si="18"/>
        <v>0</v>
      </c>
      <c r="J45" s="421"/>
      <c r="K45" s="438" t="str">
        <f t="shared" si="0"/>
        <v>Valeur des ventes nettes</v>
      </c>
      <c r="L45" s="410"/>
      <c r="M45" s="405"/>
      <c r="N45" s="432"/>
      <c r="O45" s="438" t="str">
        <f t="shared" ref="O45:P54" si="19">O33</f>
        <v>Net sales value</v>
      </c>
      <c r="P45" s="438" t="str">
        <f t="shared" si="19"/>
        <v>Valeur des ventes nettes</v>
      </c>
      <c r="Q45" s="436">
        <f t="shared" ref="Q45:U54" si="20">IF(OR(Q$30="N/A",Q33="N/A"),"N/A",IF(Q$30=0,0,IF(ISERROR(Q33/Q$30),0,Q33/Q$30)))*1000</f>
        <v>0</v>
      </c>
      <c r="R45" s="436">
        <f t="shared" si="20"/>
        <v>0</v>
      </c>
      <c r="S45" s="436">
        <f t="shared" si="20"/>
        <v>0</v>
      </c>
      <c r="T45" s="436">
        <f t="shared" si="20"/>
        <v>0</v>
      </c>
      <c r="U45" s="436">
        <f t="shared" si="20"/>
        <v>0</v>
      </c>
      <c r="V45" s="421"/>
      <c r="W45" s="438" t="str">
        <f t="shared" si="1"/>
        <v>Valeur des ventes nettes</v>
      </c>
      <c r="X45" s="410"/>
    </row>
    <row r="46" spans="2:24" x14ac:dyDescent="0.25">
      <c r="B46" s="413"/>
      <c r="C46" s="440" t="str">
        <f t="shared" si="17"/>
        <v>Beginning inventory</v>
      </c>
      <c r="D46" s="440" t="str">
        <f t="shared" si="17"/>
        <v>Stock d'ouverture</v>
      </c>
      <c r="E46" s="436">
        <f t="shared" si="18"/>
        <v>0</v>
      </c>
      <c r="F46" s="436">
        <f t="shared" si="18"/>
        <v>0</v>
      </c>
      <c r="G46" s="436">
        <f t="shared" si="18"/>
        <v>0</v>
      </c>
      <c r="H46" s="436">
        <f t="shared" si="18"/>
        <v>0</v>
      </c>
      <c r="I46" s="436">
        <f t="shared" si="18"/>
        <v>0</v>
      </c>
      <c r="J46" s="421"/>
      <c r="K46" s="440" t="str">
        <f t="shared" si="0"/>
        <v>Stock d'ouverture</v>
      </c>
      <c r="L46" s="410"/>
      <c r="M46" s="405"/>
      <c r="N46" s="413"/>
      <c r="O46" s="440" t="str">
        <f t="shared" si="19"/>
        <v>Beginning inventory</v>
      </c>
      <c r="P46" s="440" t="str">
        <f t="shared" si="19"/>
        <v>Stock d'ouverture</v>
      </c>
      <c r="Q46" s="436">
        <f t="shared" si="20"/>
        <v>0</v>
      </c>
      <c r="R46" s="436">
        <f t="shared" si="20"/>
        <v>0</v>
      </c>
      <c r="S46" s="436">
        <f t="shared" si="20"/>
        <v>0</v>
      </c>
      <c r="T46" s="436">
        <f t="shared" si="20"/>
        <v>0</v>
      </c>
      <c r="U46" s="436">
        <f t="shared" si="20"/>
        <v>0</v>
      </c>
      <c r="V46" s="421"/>
      <c r="W46" s="440" t="str">
        <f t="shared" si="1"/>
        <v>Stock d'ouverture</v>
      </c>
      <c r="X46" s="410"/>
    </row>
    <row r="47" spans="2:24" x14ac:dyDescent="0.25">
      <c r="B47" s="413"/>
      <c r="C47" s="441" t="str">
        <f t="shared" si="17"/>
        <v xml:space="preserve">Cost of goods manufactured </v>
      </c>
      <c r="D47" s="441" t="str">
        <f t="shared" si="17"/>
        <v>Coût des marchandises fabriquées</v>
      </c>
      <c r="E47" s="436">
        <f t="shared" si="18"/>
        <v>0</v>
      </c>
      <c r="F47" s="436">
        <f t="shared" si="18"/>
        <v>0</v>
      </c>
      <c r="G47" s="436">
        <f t="shared" si="18"/>
        <v>0</v>
      </c>
      <c r="H47" s="436">
        <f t="shared" si="18"/>
        <v>0</v>
      </c>
      <c r="I47" s="436">
        <f t="shared" si="18"/>
        <v>0</v>
      </c>
      <c r="J47" s="421"/>
      <c r="K47" s="441" t="str">
        <f t="shared" si="0"/>
        <v>Coût des marchandises fabriquées</v>
      </c>
      <c r="L47" s="410"/>
      <c r="M47" s="405"/>
      <c r="N47" s="413"/>
      <c r="O47" s="441" t="str">
        <f t="shared" si="19"/>
        <v xml:space="preserve">Cost of goods manufactured </v>
      </c>
      <c r="P47" s="441" t="str">
        <f t="shared" si="19"/>
        <v>Coût des marchandises fabriquées</v>
      </c>
      <c r="Q47" s="436">
        <f t="shared" si="20"/>
        <v>0</v>
      </c>
      <c r="R47" s="436">
        <f t="shared" si="20"/>
        <v>0</v>
      </c>
      <c r="S47" s="436">
        <f t="shared" si="20"/>
        <v>0</v>
      </c>
      <c r="T47" s="436">
        <f t="shared" si="20"/>
        <v>0</v>
      </c>
      <c r="U47" s="436">
        <f t="shared" si="20"/>
        <v>0</v>
      </c>
      <c r="V47" s="421"/>
      <c r="W47" s="441" t="str">
        <f t="shared" si="1"/>
        <v>Coût des marchandises fabriquées</v>
      </c>
      <c r="X47" s="410"/>
    </row>
    <row r="48" spans="2:24" x14ac:dyDescent="0.25">
      <c r="B48" s="413"/>
      <c r="C48" s="441" t="str">
        <f t="shared" si="17"/>
        <v>Ending inventory</v>
      </c>
      <c r="D48" s="441" t="str">
        <f t="shared" si="17"/>
        <v>Stock de clôture</v>
      </c>
      <c r="E48" s="436">
        <f t="shared" si="18"/>
        <v>0</v>
      </c>
      <c r="F48" s="436">
        <f t="shared" si="18"/>
        <v>0</v>
      </c>
      <c r="G48" s="436">
        <f t="shared" si="18"/>
        <v>0</v>
      </c>
      <c r="H48" s="436">
        <f t="shared" si="18"/>
        <v>0</v>
      </c>
      <c r="I48" s="436">
        <f t="shared" si="18"/>
        <v>0</v>
      </c>
      <c r="J48" s="421"/>
      <c r="K48" s="441" t="str">
        <f t="shared" si="0"/>
        <v>Stock de clôture</v>
      </c>
      <c r="L48" s="442"/>
      <c r="M48" s="443"/>
      <c r="N48" s="413"/>
      <c r="O48" s="441" t="str">
        <f t="shared" si="19"/>
        <v>Ending inventory</v>
      </c>
      <c r="P48" s="441" t="str">
        <f t="shared" si="19"/>
        <v>Stock de clôture</v>
      </c>
      <c r="Q48" s="436">
        <f t="shared" si="20"/>
        <v>0</v>
      </c>
      <c r="R48" s="436">
        <f t="shared" si="20"/>
        <v>0</v>
      </c>
      <c r="S48" s="436">
        <f t="shared" si="20"/>
        <v>0</v>
      </c>
      <c r="T48" s="436">
        <f t="shared" si="20"/>
        <v>0</v>
      </c>
      <c r="U48" s="436">
        <f t="shared" si="20"/>
        <v>0</v>
      </c>
      <c r="V48" s="421"/>
      <c r="W48" s="441" t="str">
        <f t="shared" si="1"/>
        <v>Stock de clôture</v>
      </c>
      <c r="X48" s="442"/>
    </row>
    <row r="49" spans="2:24" x14ac:dyDescent="0.25">
      <c r="B49" s="413"/>
      <c r="C49" s="441" t="str">
        <f t="shared" si="17"/>
        <v>Cost of goods sold</v>
      </c>
      <c r="D49" s="441" t="str">
        <f t="shared" si="17"/>
        <v>Coût des marchandises vendues</v>
      </c>
      <c r="E49" s="436">
        <f t="shared" si="18"/>
        <v>0</v>
      </c>
      <c r="F49" s="436">
        <f t="shared" si="18"/>
        <v>0</v>
      </c>
      <c r="G49" s="436">
        <f t="shared" si="18"/>
        <v>0</v>
      </c>
      <c r="H49" s="436">
        <f t="shared" si="18"/>
        <v>0</v>
      </c>
      <c r="I49" s="436">
        <f t="shared" si="18"/>
        <v>0</v>
      </c>
      <c r="J49" s="421"/>
      <c r="K49" s="441" t="str">
        <f t="shared" si="0"/>
        <v>Coût des marchandises vendues</v>
      </c>
      <c r="L49" s="410"/>
      <c r="M49" s="405"/>
      <c r="N49" s="413"/>
      <c r="O49" s="441" t="str">
        <f t="shared" si="19"/>
        <v>Cost of goods sold</v>
      </c>
      <c r="P49" s="441" t="str">
        <f t="shared" si="19"/>
        <v>Coût des marchandises vendues</v>
      </c>
      <c r="Q49" s="436">
        <f t="shared" si="20"/>
        <v>0</v>
      </c>
      <c r="R49" s="436">
        <f t="shared" si="20"/>
        <v>0</v>
      </c>
      <c r="S49" s="436">
        <f t="shared" si="20"/>
        <v>0</v>
      </c>
      <c r="T49" s="436">
        <f t="shared" si="20"/>
        <v>0</v>
      </c>
      <c r="U49" s="436">
        <f t="shared" si="20"/>
        <v>0</v>
      </c>
      <c r="V49" s="421"/>
      <c r="W49" s="441" t="str">
        <f t="shared" si="1"/>
        <v>Coût des marchandises vendues</v>
      </c>
      <c r="X49" s="410"/>
    </row>
    <row r="50" spans="2:24" x14ac:dyDescent="0.25">
      <c r="B50" s="432"/>
      <c r="C50" s="438" t="str">
        <f t="shared" si="17"/>
        <v>Gross margin (loss)</v>
      </c>
      <c r="D50" s="438" t="str">
        <f t="shared" si="17"/>
        <v>Marge bénéficiaire brute (pertes)</v>
      </c>
      <c r="E50" s="431">
        <f t="shared" si="18"/>
        <v>0</v>
      </c>
      <c r="F50" s="431">
        <f t="shared" si="18"/>
        <v>0</v>
      </c>
      <c r="G50" s="431">
        <f t="shared" si="18"/>
        <v>0</v>
      </c>
      <c r="H50" s="431">
        <f t="shared" si="18"/>
        <v>0</v>
      </c>
      <c r="I50" s="431">
        <f t="shared" si="18"/>
        <v>0</v>
      </c>
      <c r="J50" s="425"/>
      <c r="K50" s="438" t="str">
        <f t="shared" si="0"/>
        <v>Marge bénéficiaire brute (pertes)</v>
      </c>
      <c r="L50" s="442"/>
      <c r="M50" s="443"/>
      <c r="N50" s="432"/>
      <c r="O50" s="438" t="str">
        <f t="shared" si="19"/>
        <v>Gross margin (loss)</v>
      </c>
      <c r="P50" s="438" t="str">
        <f t="shared" si="19"/>
        <v>Marge bénéficiaire brute (pertes)</v>
      </c>
      <c r="Q50" s="431">
        <f t="shared" si="20"/>
        <v>0</v>
      </c>
      <c r="R50" s="431">
        <f t="shared" si="20"/>
        <v>0</v>
      </c>
      <c r="S50" s="431">
        <f t="shared" si="20"/>
        <v>0</v>
      </c>
      <c r="T50" s="431">
        <f t="shared" si="20"/>
        <v>0</v>
      </c>
      <c r="U50" s="431">
        <f t="shared" si="20"/>
        <v>0</v>
      </c>
      <c r="V50" s="425"/>
      <c r="W50" s="438" t="str">
        <f t="shared" si="1"/>
        <v>Marge bénéficiaire brute (pertes)</v>
      </c>
      <c r="X50" s="442"/>
    </row>
    <row r="51" spans="2:24" ht="15" customHeight="1" x14ac:dyDescent="0.25">
      <c r="B51" s="413"/>
      <c r="C51" s="444" t="str">
        <f t="shared" si="17"/>
        <v>General, selling and administrative expenses</v>
      </c>
      <c r="D51" s="444" t="str">
        <f t="shared" si="17"/>
        <v>Frais généraux, de vente et d’administration</v>
      </c>
      <c r="E51" s="436">
        <f t="shared" si="18"/>
        <v>0</v>
      </c>
      <c r="F51" s="436">
        <f t="shared" si="18"/>
        <v>0</v>
      </c>
      <c r="G51" s="436">
        <f t="shared" si="18"/>
        <v>0</v>
      </c>
      <c r="H51" s="436">
        <f t="shared" si="18"/>
        <v>0</v>
      </c>
      <c r="I51" s="436">
        <f t="shared" si="18"/>
        <v>0</v>
      </c>
      <c r="J51" s="421"/>
      <c r="K51" s="444" t="str">
        <f t="shared" si="0"/>
        <v>Frais généraux, de vente et d’administration</v>
      </c>
      <c r="L51" s="410"/>
      <c r="M51" s="405"/>
      <c r="N51" s="413"/>
      <c r="O51" s="444" t="str">
        <f t="shared" si="19"/>
        <v>General, selling and administrative expenses</v>
      </c>
      <c r="P51" s="444" t="str">
        <f t="shared" si="19"/>
        <v>Frais généraux, de vente et d’administration</v>
      </c>
      <c r="Q51" s="436">
        <f t="shared" si="20"/>
        <v>0</v>
      </c>
      <c r="R51" s="436">
        <f t="shared" si="20"/>
        <v>0</v>
      </c>
      <c r="S51" s="436">
        <f t="shared" si="20"/>
        <v>0</v>
      </c>
      <c r="T51" s="436">
        <f t="shared" si="20"/>
        <v>0</v>
      </c>
      <c r="U51" s="436">
        <f t="shared" si="20"/>
        <v>0</v>
      </c>
      <c r="V51" s="421"/>
      <c r="W51" s="444" t="str">
        <f t="shared" si="1"/>
        <v>Frais généraux, de vente et d’administration</v>
      </c>
      <c r="X51" s="410"/>
    </row>
    <row r="52" spans="2:24" x14ac:dyDescent="0.25">
      <c r="B52" s="413"/>
      <c r="C52" s="441" t="str">
        <f t="shared" si="17"/>
        <v>Financial expenses</v>
      </c>
      <c r="D52" s="441" t="str">
        <f t="shared" si="17"/>
        <v>Charges financières</v>
      </c>
      <c r="E52" s="436">
        <f t="shared" si="18"/>
        <v>0</v>
      </c>
      <c r="F52" s="436">
        <f t="shared" si="18"/>
        <v>0</v>
      </c>
      <c r="G52" s="436">
        <f t="shared" si="18"/>
        <v>0</v>
      </c>
      <c r="H52" s="436">
        <f t="shared" si="18"/>
        <v>0</v>
      </c>
      <c r="I52" s="436">
        <f t="shared" si="18"/>
        <v>0</v>
      </c>
      <c r="J52" s="421"/>
      <c r="K52" s="441" t="str">
        <f t="shared" si="0"/>
        <v>Charges financières</v>
      </c>
      <c r="L52" s="410"/>
      <c r="M52" s="405"/>
      <c r="N52" s="413"/>
      <c r="O52" s="441" t="str">
        <f t="shared" si="19"/>
        <v>Financial expenses</v>
      </c>
      <c r="P52" s="441" t="str">
        <f t="shared" si="19"/>
        <v>Charges financières</v>
      </c>
      <c r="Q52" s="436">
        <f t="shared" si="20"/>
        <v>0</v>
      </c>
      <c r="R52" s="436">
        <f t="shared" si="20"/>
        <v>0</v>
      </c>
      <c r="S52" s="436">
        <f t="shared" si="20"/>
        <v>0</v>
      </c>
      <c r="T52" s="436">
        <f t="shared" si="20"/>
        <v>0</v>
      </c>
      <c r="U52" s="436">
        <f t="shared" si="20"/>
        <v>0</v>
      </c>
      <c r="V52" s="421"/>
      <c r="W52" s="441" t="str">
        <f t="shared" si="1"/>
        <v>Charges financières</v>
      </c>
      <c r="X52" s="410"/>
    </row>
    <row r="53" spans="2:24" x14ac:dyDescent="0.25">
      <c r="B53" s="413"/>
      <c r="C53" s="441" t="str">
        <f t="shared" si="17"/>
        <v>Other expenses</v>
      </c>
      <c r="D53" s="441" t="str">
        <f t="shared" si="17"/>
        <v>Autres dépenses</v>
      </c>
      <c r="E53" s="436">
        <f t="shared" si="18"/>
        <v>0</v>
      </c>
      <c r="F53" s="436">
        <f t="shared" si="18"/>
        <v>0</v>
      </c>
      <c r="G53" s="436">
        <f t="shared" si="18"/>
        <v>0</v>
      </c>
      <c r="H53" s="436">
        <f t="shared" si="18"/>
        <v>0</v>
      </c>
      <c r="I53" s="436">
        <f t="shared" si="18"/>
        <v>0</v>
      </c>
      <c r="J53" s="421"/>
      <c r="K53" s="441" t="str">
        <f t="shared" si="0"/>
        <v>Autres dépenses</v>
      </c>
      <c r="L53" s="410"/>
      <c r="M53" s="405"/>
      <c r="N53" s="413"/>
      <c r="O53" s="441" t="str">
        <f t="shared" si="19"/>
        <v>Other expenses</v>
      </c>
      <c r="P53" s="441" t="str">
        <f t="shared" si="19"/>
        <v>Autres dépenses</v>
      </c>
      <c r="Q53" s="436">
        <f t="shared" si="20"/>
        <v>0</v>
      </c>
      <c r="R53" s="436">
        <f t="shared" si="20"/>
        <v>0</v>
      </c>
      <c r="S53" s="436">
        <f t="shared" si="20"/>
        <v>0</v>
      </c>
      <c r="T53" s="436">
        <f t="shared" si="20"/>
        <v>0</v>
      </c>
      <c r="U53" s="436">
        <f t="shared" si="20"/>
        <v>0</v>
      </c>
      <c r="V53" s="421"/>
      <c r="W53" s="441" t="str">
        <f t="shared" si="1"/>
        <v>Autres dépenses</v>
      </c>
      <c r="X53" s="410"/>
    </row>
    <row r="54" spans="2:24" x14ac:dyDescent="0.25">
      <c r="B54" s="432"/>
      <c r="C54" s="438" t="str">
        <f t="shared" si="17"/>
        <v>Net income (loss) before taxes</v>
      </c>
      <c r="D54" s="438" t="str">
        <f t="shared" si="17"/>
        <v>Revenus nets (pertes) avant impôt</v>
      </c>
      <c r="E54" s="431">
        <f t="shared" si="18"/>
        <v>0</v>
      </c>
      <c r="F54" s="431">
        <f t="shared" si="18"/>
        <v>0</v>
      </c>
      <c r="G54" s="431">
        <f t="shared" si="18"/>
        <v>0</v>
      </c>
      <c r="H54" s="431">
        <f t="shared" si="18"/>
        <v>0</v>
      </c>
      <c r="I54" s="431">
        <f t="shared" si="18"/>
        <v>0</v>
      </c>
      <c r="J54" s="425"/>
      <c r="K54" s="438" t="str">
        <f t="shared" si="0"/>
        <v>Revenus nets (pertes) avant impôt</v>
      </c>
      <c r="L54" s="410"/>
      <c r="M54" s="405"/>
      <c r="N54" s="432"/>
      <c r="O54" s="438" t="str">
        <f t="shared" si="19"/>
        <v>Net income (loss) before taxes</v>
      </c>
      <c r="P54" s="438" t="str">
        <f t="shared" si="19"/>
        <v>Revenus nets (pertes) avant impôt</v>
      </c>
      <c r="Q54" s="431">
        <f t="shared" si="20"/>
        <v>0</v>
      </c>
      <c r="R54" s="431">
        <f t="shared" si="20"/>
        <v>0</v>
      </c>
      <c r="S54" s="431">
        <f t="shared" si="20"/>
        <v>0</v>
      </c>
      <c r="T54" s="431">
        <f t="shared" si="20"/>
        <v>0</v>
      </c>
      <c r="U54" s="431">
        <f t="shared" si="20"/>
        <v>0</v>
      </c>
      <c r="V54" s="425"/>
      <c r="W54" s="438" t="str">
        <f t="shared" si="1"/>
        <v>Revenus nets (pertes) avant impôt</v>
      </c>
      <c r="X54" s="410"/>
    </row>
    <row r="55" spans="2:24" x14ac:dyDescent="0.25">
      <c r="B55" s="432"/>
      <c r="C55" s="445"/>
      <c r="D55" s="408"/>
      <c r="E55" s="425"/>
      <c r="F55" s="425"/>
      <c r="G55" s="425"/>
      <c r="H55" s="425"/>
      <c r="I55" s="425"/>
      <c r="J55" s="425"/>
      <c r="K55" s="425"/>
      <c r="L55" s="410"/>
      <c r="M55" s="405"/>
      <c r="N55" s="432"/>
      <c r="O55" s="408"/>
      <c r="P55" s="408"/>
      <c r="Q55" s="425"/>
      <c r="R55" s="425"/>
      <c r="S55" s="425"/>
      <c r="T55" s="425"/>
      <c r="U55" s="425"/>
      <c r="V55" s="425"/>
      <c r="W55" s="425"/>
      <c r="X55" s="410"/>
    </row>
    <row r="56" spans="2:24" x14ac:dyDescent="0.25">
      <c r="B56" s="413"/>
      <c r="C56" s="446" t="s">
        <v>823</v>
      </c>
      <c r="D56" s="446"/>
      <c r="E56" s="409"/>
      <c r="F56" s="409"/>
      <c r="G56" s="409"/>
      <c r="H56" s="409"/>
      <c r="I56" s="409"/>
      <c r="J56" s="409"/>
      <c r="K56" s="409"/>
      <c r="L56" s="410"/>
      <c r="M56" s="405"/>
      <c r="N56" s="413"/>
      <c r="O56" s="447" t="str">
        <f>C56</f>
        <v>Note(s):</v>
      </c>
      <c r="P56" s="448"/>
      <c r="Q56" s="409"/>
      <c r="R56" s="409"/>
      <c r="S56" s="409"/>
      <c r="T56" s="409"/>
      <c r="U56" s="409"/>
      <c r="V56" s="409"/>
      <c r="W56" s="409"/>
      <c r="X56" s="410"/>
    </row>
    <row r="57" spans="2:24" x14ac:dyDescent="0.25">
      <c r="B57" s="413"/>
      <c r="C57" s="957" t="s">
        <v>824</v>
      </c>
      <c r="D57" s="957"/>
      <c r="E57" s="957"/>
      <c r="F57" s="957"/>
      <c r="G57" s="957"/>
      <c r="H57" s="957"/>
      <c r="I57" s="957"/>
      <c r="J57" s="957"/>
      <c r="K57" s="957"/>
      <c r="L57" s="410"/>
      <c r="M57" s="405"/>
      <c r="N57" s="413"/>
      <c r="O57" s="957" t="str">
        <f>C57</f>
        <v>1. The data may not balance, as the beginning and ending inventories of goods in process are not shown.  |  
Les données pourraient ne pas s'équilibrer puisque les stocks d'ouverture et de clôture des marchandises en cours de fabrication ne figurent pas dans le tableau.</v>
      </c>
      <c r="P57" s="957"/>
      <c r="Q57" s="957"/>
      <c r="R57" s="957"/>
      <c r="S57" s="957"/>
      <c r="T57" s="957"/>
      <c r="U57" s="957"/>
      <c r="V57" s="957"/>
      <c r="W57" s="957"/>
      <c r="X57" s="410"/>
    </row>
    <row r="58" spans="2:24" x14ac:dyDescent="0.25">
      <c r="B58" s="413"/>
      <c r="C58" s="953" t="s">
        <v>825</v>
      </c>
      <c r="D58" s="953"/>
      <c r="E58" s="953"/>
      <c r="F58" s="953"/>
      <c r="G58" s="953"/>
      <c r="H58" s="953"/>
      <c r="I58" s="953"/>
      <c r="J58" s="953"/>
      <c r="K58" s="953"/>
      <c r="L58" s="410"/>
      <c r="M58" s="405"/>
      <c r="N58" s="413"/>
      <c r="O58" s="953" t="str">
        <f>C58</f>
        <v>Source: Reply to CITT questionnaire.  |  Réponse au questionnaire du TCCE.</v>
      </c>
      <c r="P58" s="953"/>
      <c r="Q58" s="953"/>
      <c r="R58" s="953"/>
      <c r="S58" s="953"/>
      <c r="T58" s="953"/>
      <c r="U58" s="953"/>
      <c r="V58" s="953"/>
      <c r="W58" s="953"/>
      <c r="X58" s="410"/>
    </row>
    <row r="59" spans="2:24" x14ac:dyDescent="0.25">
      <c r="B59" s="413"/>
      <c r="C59" s="449"/>
      <c r="D59" s="449"/>
      <c r="E59" s="409"/>
      <c r="F59" s="409"/>
      <c r="G59" s="409"/>
      <c r="H59" s="409"/>
      <c r="I59" s="409"/>
      <c r="J59" s="409"/>
      <c r="K59" s="409"/>
      <c r="L59" s="410"/>
      <c r="M59" s="405"/>
      <c r="N59" s="413"/>
      <c r="O59" s="449"/>
      <c r="P59" s="449"/>
      <c r="Q59" s="409"/>
      <c r="R59" s="409"/>
      <c r="S59" s="409"/>
      <c r="T59" s="409"/>
      <c r="U59" s="409"/>
      <c r="V59" s="409"/>
      <c r="W59" s="409"/>
      <c r="X59" s="410"/>
    </row>
    <row r="60" spans="2:24" ht="15.75" thickBot="1" x14ac:dyDescent="0.3">
      <c r="B60" s="450"/>
      <c r="C60" s="451"/>
      <c r="D60" s="451"/>
      <c r="E60" s="451"/>
      <c r="F60" s="451"/>
      <c r="G60" s="451"/>
      <c r="H60" s="451"/>
      <c r="I60" s="451"/>
      <c r="J60" s="451"/>
      <c r="K60" s="451"/>
      <c r="L60" s="452"/>
      <c r="M60" s="405"/>
      <c r="N60" s="450"/>
      <c r="O60" s="451"/>
      <c r="P60" s="451"/>
      <c r="Q60" s="451"/>
      <c r="R60" s="451"/>
      <c r="S60" s="451"/>
      <c r="T60" s="451"/>
      <c r="U60" s="451"/>
      <c r="V60" s="451"/>
      <c r="W60" s="451"/>
      <c r="X60" s="452"/>
    </row>
    <row r="62" spans="2:24" ht="15.75" thickBot="1" x14ac:dyDescent="0.3">
      <c r="C62" s="415" t="s">
        <v>826</v>
      </c>
    </row>
    <row r="63" spans="2:24" x14ac:dyDescent="0.25">
      <c r="B63" s="401"/>
      <c r="C63" s="402"/>
      <c r="D63" s="402"/>
      <c r="E63" s="403"/>
      <c r="F63" s="403"/>
      <c r="G63" s="403"/>
      <c r="H63" s="403"/>
      <c r="I63" s="403"/>
      <c r="J63" s="403"/>
      <c r="K63" s="403"/>
      <c r="L63" s="404"/>
    </row>
    <row r="64" spans="2:24" x14ac:dyDescent="0.25">
      <c r="B64" s="407"/>
      <c r="C64" s="408"/>
      <c r="D64" s="408"/>
      <c r="E64" s="409"/>
      <c r="F64" s="409"/>
      <c r="G64" s="409"/>
      <c r="H64" s="409"/>
      <c r="I64" s="409"/>
      <c r="J64" s="409"/>
      <c r="K64" s="409"/>
      <c r="L64" s="410"/>
    </row>
    <row r="65" spans="2:12" x14ac:dyDescent="0.25">
      <c r="B65" s="407"/>
      <c r="C65" s="415"/>
      <c r="D65" s="415"/>
      <c r="E65" s="409"/>
      <c r="F65" s="409"/>
      <c r="G65" s="409"/>
      <c r="H65" s="954" t="s">
        <v>809</v>
      </c>
      <c r="I65" s="954"/>
      <c r="J65" s="412"/>
      <c r="K65" s="412"/>
      <c r="L65" s="410"/>
    </row>
    <row r="66" spans="2:12" x14ac:dyDescent="0.25">
      <c r="B66" s="413"/>
      <c r="C66" s="453">
        <f>C6</f>
        <v>0</v>
      </c>
      <c r="D66" s="415"/>
      <c r="E66" s="415">
        <v>2022</v>
      </c>
      <c r="F66" s="415">
        <v>2023</v>
      </c>
      <c r="G66" s="415">
        <v>2024</v>
      </c>
      <c r="H66" s="415">
        <v>2024</v>
      </c>
      <c r="I66" s="415">
        <v>2025</v>
      </c>
      <c r="J66" s="408"/>
      <c r="K66" s="408"/>
      <c r="L66" s="410"/>
    </row>
    <row r="67" spans="2:12" x14ac:dyDescent="0.25">
      <c r="B67" s="413"/>
      <c r="C67" s="454" t="s">
        <v>470</v>
      </c>
      <c r="D67" s="454" t="s">
        <v>812</v>
      </c>
      <c r="E67" s="421"/>
      <c r="F67" s="421"/>
      <c r="G67" s="421"/>
      <c r="H67" s="421"/>
      <c r="I67" s="421"/>
      <c r="J67" s="421"/>
      <c r="K67" s="454" t="s">
        <v>812</v>
      </c>
      <c r="L67" s="410"/>
    </row>
    <row r="68" spans="2:12" x14ac:dyDescent="0.25">
      <c r="B68" s="413"/>
      <c r="C68" s="455" t="s">
        <v>390</v>
      </c>
      <c r="D68" s="455" t="s">
        <v>819</v>
      </c>
      <c r="E68" s="420">
        <f>'Pro 3'!G24/1000</f>
        <v>0</v>
      </c>
      <c r="F68" s="420">
        <v>0</v>
      </c>
      <c r="G68" s="420">
        <v>0</v>
      </c>
      <c r="H68" s="420">
        <v>0</v>
      </c>
      <c r="I68" s="420">
        <v>0</v>
      </c>
      <c r="J68" s="421"/>
      <c r="K68" s="455" t="s">
        <v>819</v>
      </c>
      <c r="L68" s="410"/>
    </row>
    <row r="69" spans="2:12" x14ac:dyDescent="0.25">
      <c r="B69" s="413"/>
      <c r="C69" s="456" t="s">
        <v>384</v>
      </c>
      <c r="D69" s="456" t="s">
        <v>50</v>
      </c>
      <c r="E69" s="420">
        <f>'Pro 3'!G25/1000</f>
        <v>0</v>
      </c>
      <c r="F69" s="420">
        <v>0</v>
      </c>
      <c r="G69" s="420">
        <v>0</v>
      </c>
      <c r="H69" s="420">
        <v>0</v>
      </c>
      <c r="I69" s="420">
        <v>0</v>
      </c>
      <c r="J69" s="421"/>
      <c r="K69" s="456" t="s">
        <v>50</v>
      </c>
      <c r="L69" s="410"/>
    </row>
    <row r="70" spans="2:12" x14ac:dyDescent="0.25">
      <c r="B70" s="413"/>
      <c r="C70" s="455" t="s">
        <v>473</v>
      </c>
      <c r="D70" s="455" t="s">
        <v>820</v>
      </c>
      <c r="E70" s="431">
        <v>0</v>
      </c>
      <c r="F70" s="431">
        <v>0</v>
      </c>
      <c r="G70" s="431">
        <v>0</v>
      </c>
      <c r="H70" s="431">
        <v>0</v>
      </c>
      <c r="I70" s="431">
        <v>0</v>
      </c>
      <c r="J70" s="425"/>
      <c r="K70" s="455" t="s">
        <v>820</v>
      </c>
      <c r="L70" s="410"/>
    </row>
    <row r="71" spans="2:12" x14ac:dyDescent="0.25">
      <c r="B71" s="413"/>
      <c r="C71" s="456" t="s">
        <v>387</v>
      </c>
      <c r="D71" s="456" t="s">
        <v>821</v>
      </c>
      <c r="E71" s="420">
        <f>'Pro 3'!G27/1000</f>
        <v>0</v>
      </c>
      <c r="F71" s="420">
        <v>0</v>
      </c>
      <c r="G71" s="420">
        <v>0</v>
      </c>
      <c r="H71" s="420">
        <v>0</v>
      </c>
      <c r="I71" s="420">
        <v>0</v>
      </c>
      <c r="J71" s="421"/>
      <c r="K71" s="456" t="s">
        <v>821</v>
      </c>
      <c r="L71" s="410"/>
    </row>
    <row r="72" spans="2:12" x14ac:dyDescent="0.25">
      <c r="B72" s="413"/>
      <c r="C72" s="456" t="s">
        <v>386</v>
      </c>
      <c r="D72" s="456" t="s">
        <v>56</v>
      </c>
      <c r="E72" s="420">
        <f>'Pro 3'!G28/1000</f>
        <v>0</v>
      </c>
      <c r="F72" s="420">
        <v>0</v>
      </c>
      <c r="G72" s="420">
        <v>0</v>
      </c>
      <c r="H72" s="420">
        <v>0</v>
      </c>
      <c r="I72" s="420">
        <v>0</v>
      </c>
      <c r="J72" s="421"/>
      <c r="K72" s="456" t="s">
        <v>56</v>
      </c>
      <c r="L72" s="410"/>
    </row>
    <row r="73" spans="2:12" x14ac:dyDescent="0.25">
      <c r="B73" s="413"/>
      <c r="C73" s="456" t="s">
        <v>476</v>
      </c>
      <c r="D73" s="456" t="s">
        <v>117</v>
      </c>
      <c r="E73" s="420">
        <f>'Pro 3'!G29/1000</f>
        <v>0</v>
      </c>
      <c r="F73" s="420">
        <v>0</v>
      </c>
      <c r="G73" s="420">
        <v>0</v>
      </c>
      <c r="H73" s="420">
        <v>0</v>
      </c>
      <c r="I73" s="420">
        <v>0</v>
      </c>
      <c r="J73" s="421"/>
      <c r="K73" s="456" t="s">
        <v>117</v>
      </c>
      <c r="L73" s="410"/>
    </row>
    <row r="74" spans="2:12" x14ac:dyDescent="0.25">
      <c r="B74" s="413"/>
      <c r="C74" s="455" t="s">
        <v>478</v>
      </c>
      <c r="D74" s="455" t="s">
        <v>822</v>
      </c>
      <c r="E74" s="431">
        <v>0</v>
      </c>
      <c r="F74" s="431">
        <v>0</v>
      </c>
      <c r="G74" s="431">
        <v>0</v>
      </c>
      <c r="H74" s="431">
        <v>0</v>
      </c>
      <c r="I74" s="431">
        <v>0</v>
      </c>
      <c r="J74" s="425"/>
      <c r="K74" s="455" t="s">
        <v>822</v>
      </c>
      <c r="L74" s="410"/>
    </row>
    <row r="75" spans="2:12" ht="15.75" thickBot="1" x14ac:dyDescent="0.3">
      <c r="B75" s="450"/>
      <c r="C75" s="457"/>
      <c r="D75" s="457"/>
      <c r="E75" s="458"/>
      <c r="F75" s="458"/>
      <c r="G75" s="458"/>
      <c r="H75" s="458"/>
      <c r="I75" s="458"/>
      <c r="J75" s="459"/>
      <c r="K75" s="457"/>
      <c r="L75" s="452"/>
    </row>
  </sheetData>
  <sheetProtection algorithmName="SHA-512" hashValue="2OkItvieN1k6lzu6axl/3MOM+u99bLM/aYdp0lsS5DVhcfzx3j2Xng/cCF3tJFNDTCnYU1xfXQB8f6DBBG00zA==" saltValue="DAl73gRYdDFiJ7YHcbEsfw==" spinCount="100000" sheet="1" objects="1" scenarios="1" selectLockedCells="1"/>
  <mergeCells count="9">
    <mergeCell ref="C58:K58"/>
    <mergeCell ref="O58:W58"/>
    <mergeCell ref="H65:I65"/>
    <mergeCell ref="C2:K2"/>
    <mergeCell ref="O2:W2"/>
    <mergeCell ref="H5:I5"/>
    <mergeCell ref="T5:U5"/>
    <mergeCell ref="C57:K57"/>
    <mergeCell ref="O57:W57"/>
  </mergeCells>
  <dataValidations count="4">
    <dataValidation type="list" allowBlank="1" showInputMessage="1" showErrorMessage="1" sqref="D5:D8" xr:uid="{600C62C9-C876-48F4-AF3D-5CAFFF209FE8}">
      <formula1>$D$1:$D$8</formula1>
    </dataValidation>
    <dataValidation type="list" allowBlank="1" showInputMessage="1" showErrorMessage="1" sqref="B5" xr:uid="{87BA93D3-5C88-47DD-B3D6-A1992CF521FE}">
      <formula1>$B$1:$B$3</formula1>
    </dataValidation>
    <dataValidation type="list" allowBlank="1" showInputMessage="1" showErrorMessage="1" sqref="C5:C8" xr:uid="{372C07A7-8AFF-45BA-8AAA-15CC24297094}">
      <formula1>$C$1:$C$6</formula1>
    </dataValidation>
    <dataValidation type="list" allowBlank="1" showInputMessage="1" showErrorMessage="1" sqref="H5:H8" xr:uid="{AD77B1D7-7974-4478-92EB-A02BDFC3A8BA}">
      <formula1>$H$1:$H$3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6D7B-E00C-48A4-A1C7-EB80FD493311}">
  <sheetPr>
    <tabColor rgb="FFFF0000"/>
  </sheetPr>
  <dimension ref="A3:M67"/>
  <sheetViews>
    <sheetView workbookViewId="0">
      <selection activeCell="A5" sqref="A5"/>
    </sheetView>
  </sheetViews>
  <sheetFormatPr defaultRowHeight="15" x14ac:dyDescent="0.25"/>
  <cols>
    <col min="1" max="1" width="8.42578125" customWidth="1"/>
    <col min="2" max="2" width="2.7109375" customWidth="1"/>
    <col min="3" max="3" width="35.7109375" customWidth="1"/>
    <col min="4" max="4" width="0" hidden="1" customWidth="1"/>
    <col min="5" max="10" width="11.28515625" customWidth="1"/>
    <col min="11" max="11" width="5" customWidth="1"/>
    <col min="12" max="12" width="38.7109375" customWidth="1"/>
    <col min="13" max="13" width="2.7109375" customWidth="1"/>
  </cols>
  <sheetData>
    <row r="3" spans="1:13" ht="15.75" thickBot="1" x14ac:dyDescent="0.3"/>
    <row r="4" spans="1:13" x14ac:dyDescent="0.25">
      <c r="A4" s="406"/>
      <c r="B4" s="460"/>
      <c r="C4" s="461"/>
      <c r="D4" s="461"/>
      <c r="E4" s="461"/>
      <c r="F4" s="461"/>
      <c r="G4" s="461"/>
      <c r="H4" s="461"/>
      <c r="I4" s="461"/>
      <c r="J4" s="461"/>
      <c r="K4" s="461"/>
      <c r="L4" s="461"/>
      <c r="M4" s="462"/>
    </row>
    <row r="5" spans="1:13" x14ac:dyDescent="0.25">
      <c r="A5" s="411"/>
      <c r="B5" s="463"/>
      <c r="C5" s="464"/>
      <c r="D5" s="464"/>
      <c r="E5" s="464"/>
      <c r="F5" s="464"/>
      <c r="G5" s="464"/>
      <c r="H5" s="954" t="s">
        <v>809</v>
      </c>
      <c r="I5" s="954"/>
      <c r="J5" s="412"/>
      <c r="K5" s="412"/>
      <c r="L5" s="465"/>
      <c r="M5" s="466"/>
    </row>
    <row r="6" spans="1:13" x14ac:dyDescent="0.25">
      <c r="A6" s="54"/>
      <c r="B6" s="467"/>
      <c r="C6" s="468">
        <f>Intro!E77</f>
        <v>0</v>
      </c>
      <c r="D6" s="469"/>
      <c r="E6" s="415">
        <v>2022</v>
      </c>
      <c r="F6" s="415">
        <v>2023</v>
      </c>
      <c r="G6" s="415">
        <v>2024</v>
      </c>
      <c r="H6" s="415">
        <v>2024</v>
      </c>
      <c r="I6" s="415">
        <v>2025</v>
      </c>
      <c r="J6" s="415"/>
      <c r="K6" s="415"/>
      <c r="L6" s="415"/>
      <c r="M6" s="466"/>
    </row>
    <row r="7" spans="1:13" x14ac:dyDescent="0.25">
      <c r="A7" s="54"/>
      <c r="B7" s="467"/>
      <c r="C7" s="469"/>
      <c r="D7" s="469"/>
      <c r="E7" s="415"/>
      <c r="F7" s="415"/>
      <c r="G7" s="415"/>
      <c r="H7" s="415"/>
      <c r="I7" s="415"/>
      <c r="J7" s="415"/>
      <c r="K7" s="415"/>
      <c r="L7" s="415"/>
      <c r="M7" s="466"/>
    </row>
    <row r="8" spans="1:13" x14ac:dyDescent="0.25">
      <c r="A8" s="54"/>
      <c r="B8" s="467"/>
      <c r="C8" s="470" t="s">
        <v>827</v>
      </c>
      <c r="D8" s="470" t="s">
        <v>828</v>
      </c>
      <c r="E8" s="471">
        <f>'Pro 1'!G29</f>
        <v>0</v>
      </c>
      <c r="F8" s="471">
        <f>'Pro 1'!H29</f>
        <v>0</v>
      </c>
      <c r="G8" s="471">
        <f>'Pro 1'!I29</f>
        <v>0</v>
      </c>
      <c r="H8" s="471">
        <f>'Pro 1'!J29</f>
        <v>0</v>
      </c>
      <c r="I8" s="471">
        <f>'Pro 1'!K29</f>
        <v>0</v>
      </c>
      <c r="J8" s="472"/>
      <c r="K8" s="472"/>
      <c r="L8" s="470" t="str">
        <f>D8</f>
        <v>Capacité pratique des usines (tonnes)</v>
      </c>
      <c r="M8" s="466"/>
    </row>
    <row r="9" spans="1:13" x14ac:dyDescent="0.25">
      <c r="B9" s="467"/>
      <c r="C9" s="469"/>
      <c r="D9" s="469"/>
      <c r="E9" s="473"/>
      <c r="F9" s="473"/>
      <c r="G9" s="473"/>
      <c r="H9" s="473"/>
      <c r="I9" s="473"/>
      <c r="J9" s="473"/>
      <c r="K9" s="473"/>
      <c r="L9" s="469"/>
      <c r="M9" s="466"/>
    </row>
    <row r="10" spans="1:13" x14ac:dyDescent="0.25">
      <c r="B10" s="467"/>
      <c r="C10" s="470" t="s">
        <v>489</v>
      </c>
      <c r="D10" s="470" t="s">
        <v>489</v>
      </c>
      <c r="E10" s="473"/>
      <c r="F10" s="473"/>
      <c r="G10" s="473"/>
      <c r="H10" s="473"/>
      <c r="I10" s="473"/>
      <c r="J10" s="473"/>
      <c r="K10" s="473"/>
      <c r="L10" s="470" t="str">
        <f t="shared" ref="L10:L16" si="0">D10</f>
        <v>Production (tonnes)</v>
      </c>
      <c r="M10" s="466"/>
    </row>
    <row r="11" spans="1:13" x14ac:dyDescent="0.25">
      <c r="B11" s="463"/>
      <c r="C11" s="474" t="s">
        <v>829</v>
      </c>
      <c r="D11" s="474" t="s">
        <v>830</v>
      </c>
      <c r="E11" s="475">
        <f>'Pro 1'!G21</f>
        <v>0</v>
      </c>
      <c r="F11" s="475">
        <f>'Pro 1'!H21</f>
        <v>0</v>
      </c>
      <c r="G11" s="475">
        <f>'Pro 1'!I21</f>
        <v>0</v>
      </c>
      <c r="H11" s="475">
        <f>'Pro 1'!J21</f>
        <v>0</v>
      </c>
      <c r="I11" s="475">
        <f>'Pro 1'!K21</f>
        <v>0</v>
      </c>
      <c r="J11" s="472"/>
      <c r="K11" s="476"/>
      <c r="L11" s="474" t="str">
        <f t="shared" si="0"/>
        <v>Pour les ventes nationales</v>
      </c>
      <c r="M11" s="466"/>
    </row>
    <row r="12" spans="1:13" x14ac:dyDescent="0.25">
      <c r="B12" s="463"/>
      <c r="C12" s="474" t="s">
        <v>831</v>
      </c>
      <c r="D12" s="474" t="s">
        <v>832</v>
      </c>
      <c r="E12" s="68">
        <f>'Pro 1'!G22</f>
        <v>0</v>
      </c>
      <c r="F12" s="68">
        <f>'Pro 1'!H22</f>
        <v>0</v>
      </c>
      <c r="G12" s="68">
        <f>'Pro 1'!I22</f>
        <v>0</v>
      </c>
      <c r="H12" s="68">
        <f>'Pro 1'!J22</f>
        <v>0</v>
      </c>
      <c r="I12" s="68">
        <f>'Pro 1'!K22</f>
        <v>0</v>
      </c>
      <c r="J12" s="476"/>
      <c r="K12" s="476"/>
      <c r="L12" s="474" t="str">
        <f t="shared" si="0"/>
        <v xml:space="preserve">Pour les ventes à l'exportation </v>
      </c>
      <c r="M12" s="466"/>
    </row>
    <row r="13" spans="1:13" x14ac:dyDescent="0.25">
      <c r="B13" s="463"/>
      <c r="C13" s="474" t="s">
        <v>833</v>
      </c>
      <c r="D13" s="474" t="s">
        <v>834</v>
      </c>
      <c r="E13" s="477">
        <f>'Pro 1'!G23</f>
        <v>0</v>
      </c>
      <c r="F13" s="477">
        <f>'Pro 1'!H23</f>
        <v>0</v>
      </c>
      <c r="G13" s="477">
        <f>'Pro 1'!I23</f>
        <v>0</v>
      </c>
      <c r="H13" s="477">
        <f>'Pro 1'!J23</f>
        <v>0</v>
      </c>
      <c r="I13" s="477">
        <f>'Pro 1'!K23</f>
        <v>0</v>
      </c>
      <c r="J13" s="476"/>
      <c r="K13" s="476"/>
      <c r="L13" s="474" t="str">
        <f t="shared" si="0"/>
        <v xml:space="preserve">Pour la transformation ultérieure
</v>
      </c>
      <c r="M13" s="466"/>
    </row>
    <row r="14" spans="1:13" x14ac:dyDescent="0.25">
      <c r="B14" s="463"/>
      <c r="C14" s="478" t="s">
        <v>493</v>
      </c>
      <c r="D14" s="478" t="s">
        <v>493</v>
      </c>
      <c r="E14" s="479">
        <f>SUM(E11:E13)</f>
        <v>0</v>
      </c>
      <c r="F14" s="479">
        <f t="shared" ref="F14:I14" si="1">SUM(F11:F13)</f>
        <v>0</v>
      </c>
      <c r="G14" s="479">
        <f t="shared" si="1"/>
        <v>0</v>
      </c>
      <c r="H14" s="479">
        <f t="shared" si="1"/>
        <v>0</v>
      </c>
      <c r="I14" s="479">
        <f t="shared" si="1"/>
        <v>0</v>
      </c>
      <c r="J14" s="480"/>
      <c r="K14" s="480"/>
      <c r="L14" s="478" t="str">
        <f t="shared" si="0"/>
        <v>Total - Production</v>
      </c>
      <c r="M14" s="466"/>
    </row>
    <row r="15" spans="1:13" x14ac:dyDescent="0.25">
      <c r="B15" s="463"/>
      <c r="C15" s="959" t="s">
        <v>494</v>
      </c>
      <c r="D15" s="959" t="s">
        <v>835</v>
      </c>
      <c r="E15" s="477">
        <f>'Pro 1'!G26</f>
        <v>0</v>
      </c>
      <c r="F15" s="477">
        <f>'Pro 1'!H26</f>
        <v>0</v>
      </c>
      <c r="G15" s="477">
        <f>'Pro 1'!I26</f>
        <v>0</v>
      </c>
      <c r="H15" s="477">
        <f>'Pro 1'!J26</f>
        <v>0</v>
      </c>
      <c r="I15" s="477">
        <f>'Pro 1'!K26</f>
        <v>0</v>
      </c>
      <c r="J15" s="476"/>
      <c r="K15" s="476"/>
      <c r="L15" s="959" t="str">
        <f t="shared" si="0"/>
        <v>Autres marchandises produites sur le même équipement</v>
      </c>
      <c r="M15" s="466"/>
    </row>
    <row r="16" spans="1:13" x14ac:dyDescent="0.25">
      <c r="B16" s="463"/>
      <c r="C16" s="959"/>
      <c r="D16" s="959"/>
      <c r="E16" s="476"/>
      <c r="F16" s="476"/>
      <c r="G16" s="476"/>
      <c r="H16" s="476"/>
      <c r="I16" s="476"/>
      <c r="J16" s="476"/>
      <c r="K16" s="476"/>
      <c r="L16" s="959">
        <f t="shared" si="0"/>
        <v>0</v>
      </c>
      <c r="M16" s="466"/>
    </row>
    <row r="17" spans="2:13" x14ac:dyDescent="0.25">
      <c r="B17" s="463"/>
      <c r="C17" s="464"/>
      <c r="D17" s="464"/>
      <c r="E17" s="481"/>
      <c r="F17" s="481"/>
      <c r="G17" s="481"/>
      <c r="H17" s="481"/>
      <c r="I17" s="481"/>
      <c r="J17" s="481"/>
      <c r="K17" s="482"/>
      <c r="L17" s="464"/>
      <c r="M17" s="466"/>
    </row>
    <row r="18" spans="2:13" x14ac:dyDescent="0.25">
      <c r="B18" s="467"/>
      <c r="C18" s="470" t="s">
        <v>836</v>
      </c>
      <c r="D18" s="470" t="s">
        <v>837</v>
      </c>
      <c r="E18" s="473"/>
      <c r="F18" s="473"/>
      <c r="G18" s="473"/>
      <c r="H18" s="473"/>
      <c r="I18" s="473"/>
      <c r="J18" s="473"/>
      <c r="K18" s="473"/>
      <c r="L18" s="470" t="str">
        <f t="shared" ref="L18:L24" si="2">D18</f>
        <v>Taux d'utilisation de la capacité (%)</v>
      </c>
      <c r="M18" s="466"/>
    </row>
    <row r="19" spans="2:13" x14ac:dyDescent="0.25">
      <c r="B19" s="463"/>
      <c r="C19" s="474" t="str">
        <f t="shared" ref="C19:D23" si="3">C11</f>
        <v>For domestic sales</v>
      </c>
      <c r="D19" s="474" t="str">
        <f t="shared" si="3"/>
        <v>Pour les ventes nationales</v>
      </c>
      <c r="E19" s="68">
        <f>IF(E$8=0,0,E11/E$8)*100</f>
        <v>0</v>
      </c>
      <c r="F19" s="68">
        <f t="shared" ref="F19:I23" si="4">IF(F$8=0,0,F11/F$8)*100</f>
        <v>0</v>
      </c>
      <c r="G19" s="68">
        <f t="shared" si="4"/>
        <v>0</v>
      </c>
      <c r="H19" s="68">
        <f t="shared" si="4"/>
        <v>0</v>
      </c>
      <c r="I19" s="68">
        <f t="shared" si="4"/>
        <v>0</v>
      </c>
      <c r="J19" s="476"/>
      <c r="K19" s="476"/>
      <c r="L19" s="474" t="str">
        <f t="shared" si="2"/>
        <v>Pour les ventes nationales</v>
      </c>
      <c r="M19" s="466"/>
    </row>
    <row r="20" spans="2:13" x14ac:dyDescent="0.25">
      <c r="B20" s="463"/>
      <c r="C20" s="474" t="str">
        <f t="shared" si="3"/>
        <v>For export sales</v>
      </c>
      <c r="D20" s="474" t="str">
        <f t="shared" si="3"/>
        <v xml:space="preserve">Pour les ventes à l'exportation </v>
      </c>
      <c r="E20" s="68">
        <f>IF(E$8=0,0,E12/E$8)*100</f>
        <v>0</v>
      </c>
      <c r="F20" s="68">
        <f t="shared" si="4"/>
        <v>0</v>
      </c>
      <c r="G20" s="68">
        <f t="shared" si="4"/>
        <v>0</v>
      </c>
      <c r="H20" s="68">
        <f t="shared" si="4"/>
        <v>0</v>
      </c>
      <c r="I20" s="68">
        <f t="shared" si="4"/>
        <v>0</v>
      </c>
      <c r="J20" s="476"/>
      <c r="K20" s="476"/>
      <c r="L20" s="474" t="str">
        <f t="shared" si="2"/>
        <v xml:space="preserve">Pour les ventes à l'exportation </v>
      </c>
      <c r="M20" s="466"/>
    </row>
    <row r="21" spans="2:13" x14ac:dyDescent="0.25">
      <c r="B21" s="463"/>
      <c r="C21" s="474" t="str">
        <f t="shared" si="3"/>
        <v>For further internal processing</v>
      </c>
      <c r="D21" s="474" t="str">
        <f t="shared" si="3"/>
        <v xml:space="preserve">Pour la transformation ultérieure
</v>
      </c>
      <c r="E21" s="68">
        <f>IF(E$8=0,0,E13/E$8)*100</f>
        <v>0</v>
      </c>
      <c r="F21" s="68">
        <f t="shared" si="4"/>
        <v>0</v>
      </c>
      <c r="G21" s="68">
        <f t="shared" si="4"/>
        <v>0</v>
      </c>
      <c r="H21" s="68">
        <f t="shared" si="4"/>
        <v>0</v>
      </c>
      <c r="I21" s="68">
        <f t="shared" si="4"/>
        <v>0</v>
      </c>
      <c r="J21" s="476"/>
      <c r="K21" s="476"/>
      <c r="L21" s="474" t="str">
        <f t="shared" si="2"/>
        <v xml:space="preserve">Pour la transformation ultérieure
</v>
      </c>
      <c r="M21" s="466"/>
    </row>
    <row r="22" spans="2:13" x14ac:dyDescent="0.25">
      <c r="B22" s="483"/>
      <c r="C22" s="478" t="str">
        <f t="shared" si="3"/>
        <v>Total - Production</v>
      </c>
      <c r="D22" s="478" t="str">
        <f t="shared" si="3"/>
        <v>Total - Production</v>
      </c>
      <c r="E22" s="479">
        <f>IF(E$8=0,0,E14/E$8)*100</f>
        <v>0</v>
      </c>
      <c r="F22" s="479">
        <f t="shared" si="4"/>
        <v>0</v>
      </c>
      <c r="G22" s="479">
        <f t="shared" si="4"/>
        <v>0</v>
      </c>
      <c r="H22" s="479">
        <f t="shared" si="4"/>
        <v>0</v>
      </c>
      <c r="I22" s="479">
        <f t="shared" si="4"/>
        <v>0</v>
      </c>
      <c r="J22" s="480"/>
      <c r="K22" s="480"/>
      <c r="L22" s="478" t="str">
        <f t="shared" si="2"/>
        <v>Total - Production</v>
      </c>
      <c r="M22" s="484"/>
    </row>
    <row r="23" spans="2:13" x14ac:dyDescent="0.25">
      <c r="B23" s="463"/>
      <c r="C23" s="959" t="str">
        <f t="shared" si="3"/>
        <v>Other goods produced on the same equipment</v>
      </c>
      <c r="D23" s="959" t="str">
        <f t="shared" si="3"/>
        <v>Autres marchandises produites sur le même équipement</v>
      </c>
      <c r="E23" s="68">
        <f>IF(E$8=0,0,E15/E$8)*100</f>
        <v>0</v>
      </c>
      <c r="F23" s="68">
        <f t="shared" si="4"/>
        <v>0</v>
      </c>
      <c r="G23" s="68">
        <f t="shared" si="4"/>
        <v>0</v>
      </c>
      <c r="H23" s="68">
        <f t="shared" si="4"/>
        <v>0</v>
      </c>
      <c r="I23" s="68">
        <f t="shared" si="4"/>
        <v>0</v>
      </c>
      <c r="J23" s="476"/>
      <c r="K23" s="476"/>
      <c r="L23" s="959" t="str">
        <f t="shared" si="2"/>
        <v>Autres marchandises produites sur le même équipement</v>
      </c>
      <c r="M23" s="466"/>
    </row>
    <row r="24" spans="2:13" x14ac:dyDescent="0.25">
      <c r="B24" s="463"/>
      <c r="C24" s="959"/>
      <c r="D24" s="959"/>
      <c r="E24" s="485"/>
      <c r="F24" s="485"/>
      <c r="G24" s="485"/>
      <c r="H24" s="485"/>
      <c r="I24" s="485"/>
      <c r="J24" s="485"/>
      <c r="K24" s="485"/>
      <c r="L24" s="959">
        <f t="shared" si="2"/>
        <v>0</v>
      </c>
      <c r="M24" s="466"/>
    </row>
    <row r="25" spans="2:13" x14ac:dyDescent="0.25">
      <c r="B25" s="463"/>
      <c r="C25" s="474"/>
      <c r="D25" s="474"/>
      <c r="E25" s="481"/>
      <c r="F25" s="481"/>
      <c r="G25" s="481"/>
      <c r="H25" s="481"/>
      <c r="I25" s="481"/>
      <c r="J25" s="481"/>
      <c r="K25" s="482"/>
      <c r="L25" s="474"/>
      <c r="M25" s="466"/>
    </row>
    <row r="26" spans="2:13" ht="15" customHeight="1" x14ac:dyDescent="0.25">
      <c r="B26" s="463"/>
      <c r="C26" s="486" t="s">
        <v>838</v>
      </c>
      <c r="D26" s="486" t="s">
        <v>839</v>
      </c>
      <c r="E26" s="482"/>
      <c r="F26" s="481"/>
      <c r="G26" s="481"/>
      <c r="H26" s="481"/>
      <c r="I26" s="481"/>
      <c r="J26" s="481"/>
      <c r="K26" s="482"/>
      <c r="L26" s="486" t="str">
        <f>D26</f>
        <v>Ventes nationales de la production nationale</v>
      </c>
      <c r="M26" s="466"/>
    </row>
    <row r="27" spans="2:13" x14ac:dyDescent="0.25">
      <c r="B27" s="463"/>
      <c r="C27" s="474" t="s">
        <v>496</v>
      </c>
      <c r="D27" s="474" t="s">
        <v>496</v>
      </c>
      <c r="E27" s="68">
        <f>SUM('Pro 2'!H29,'Pro 2'!H35)</f>
        <v>0</v>
      </c>
      <c r="F27" s="68">
        <f>SUM('Pro 2'!I29,'Pro 2'!I35)</f>
        <v>0</v>
      </c>
      <c r="G27" s="68">
        <f>SUM('Pro 2'!J29,'Pro 2'!J35)</f>
        <v>0</v>
      </c>
      <c r="H27" s="68">
        <f>SUM('Pro 2'!K29,'Pro 2'!K35)</f>
        <v>0</v>
      </c>
      <c r="I27" s="68">
        <f>SUM('Pro 2'!L29,'Pro 2'!L35)</f>
        <v>0</v>
      </c>
      <c r="J27" s="476"/>
      <c r="K27" s="476"/>
      <c r="L27" s="474" t="str">
        <f>D27</f>
        <v>Total - Volume (tonnes)</v>
      </c>
      <c r="M27" s="466"/>
    </row>
    <row r="28" spans="2:13" x14ac:dyDescent="0.25">
      <c r="B28" s="463"/>
      <c r="C28" s="474" t="s">
        <v>569</v>
      </c>
      <c r="D28" s="474" t="s">
        <v>840</v>
      </c>
      <c r="E28" s="68">
        <f>SUM('Pro 2'!H30,'Pro 2'!H36)/1000</f>
        <v>0</v>
      </c>
      <c r="F28" s="68">
        <f>SUM('Pro 2'!I30,'Pro 2'!I36)/1000</f>
        <v>0</v>
      </c>
      <c r="G28" s="68">
        <f>SUM('Pro 2'!J30,'Pro 2'!J36)/1000</f>
        <v>0</v>
      </c>
      <c r="H28" s="68">
        <f>SUM('Pro 2'!K30,'Pro 2'!K36)/1000</f>
        <v>0</v>
      </c>
      <c r="I28" s="68">
        <f>SUM('Pro 2'!L30,'Pro 2'!L36)/1000</f>
        <v>0</v>
      </c>
      <c r="J28" s="476"/>
      <c r="K28" s="476"/>
      <c r="L28" s="474" t="str">
        <f>D28</f>
        <v>Total - Valeur (000 $)</v>
      </c>
      <c r="M28" s="466"/>
    </row>
    <row r="29" spans="2:13" x14ac:dyDescent="0.25">
      <c r="B29" s="483"/>
      <c r="C29" s="478" t="s">
        <v>570</v>
      </c>
      <c r="D29" s="478" t="s">
        <v>841</v>
      </c>
      <c r="E29" s="479">
        <f>IF(E27=0,0,E28/E27)*1000</f>
        <v>0</v>
      </c>
      <c r="F29" s="479">
        <f t="shared" ref="F29:I29" si="5">IF(F27=0,0,F28/F27)*1000</f>
        <v>0</v>
      </c>
      <c r="G29" s="479">
        <f t="shared" si="5"/>
        <v>0</v>
      </c>
      <c r="H29" s="479">
        <f t="shared" si="5"/>
        <v>0</v>
      </c>
      <c r="I29" s="479">
        <f t="shared" si="5"/>
        <v>0</v>
      </c>
      <c r="J29" s="480"/>
      <c r="K29" s="480"/>
      <c r="L29" s="478" t="str">
        <f>D29</f>
        <v>Total - Valeur unitaire ($/tonne)</v>
      </c>
      <c r="M29" s="484"/>
    </row>
    <row r="30" spans="2:13" x14ac:dyDescent="0.25">
      <c r="B30" s="483"/>
      <c r="C30" s="464"/>
      <c r="D30" s="464"/>
      <c r="E30" s="480"/>
      <c r="F30" s="480"/>
      <c r="G30" s="480"/>
      <c r="H30" s="480"/>
      <c r="I30" s="480"/>
      <c r="J30" s="480"/>
      <c r="K30" s="480"/>
      <c r="L30" s="464"/>
      <c r="M30" s="466"/>
    </row>
    <row r="31" spans="2:13" x14ac:dyDescent="0.25">
      <c r="B31" s="463"/>
      <c r="C31" s="470" t="s">
        <v>600</v>
      </c>
      <c r="D31" s="470" t="s">
        <v>842</v>
      </c>
      <c r="E31" s="481"/>
      <c r="F31" s="481"/>
      <c r="G31" s="481"/>
      <c r="H31" s="481"/>
      <c r="I31" s="481"/>
      <c r="J31" s="481"/>
      <c r="K31" s="482"/>
      <c r="L31" s="470" t="str">
        <f>D31</f>
        <v xml:space="preserve">Ventes à l'exportation </v>
      </c>
      <c r="M31" s="466"/>
    </row>
    <row r="32" spans="2:13" x14ac:dyDescent="0.25">
      <c r="B32" s="463"/>
      <c r="C32" s="474" t="str">
        <f t="shared" ref="C32:D34" si="6">C27</f>
        <v>Total - Volume (tonnes)</v>
      </c>
      <c r="D32" s="474" t="str">
        <f t="shared" si="6"/>
        <v>Total - Volume (tonnes)</v>
      </c>
      <c r="E32" s="68">
        <f>'Pro 2'!H41</f>
        <v>0</v>
      </c>
      <c r="F32" s="68">
        <f>'Pro 2'!I41</f>
        <v>0</v>
      </c>
      <c r="G32" s="68">
        <f>'Pro 2'!J41</f>
        <v>0</v>
      </c>
      <c r="H32" s="68">
        <f>'Pro 2'!K41</f>
        <v>0</v>
      </c>
      <c r="I32" s="68">
        <f>'Pro 2'!L41</f>
        <v>0</v>
      </c>
      <c r="J32" s="476"/>
      <c r="K32" s="476"/>
      <c r="L32" s="474" t="str">
        <f>D32</f>
        <v>Total - Volume (tonnes)</v>
      </c>
      <c r="M32" s="466"/>
    </row>
    <row r="33" spans="2:13" x14ac:dyDescent="0.25">
      <c r="B33" s="463"/>
      <c r="C33" s="474" t="str">
        <f t="shared" si="6"/>
        <v>Total - Value ($000)</v>
      </c>
      <c r="D33" s="474" t="str">
        <f t="shared" si="6"/>
        <v>Total - Valeur (000 $)</v>
      </c>
      <c r="E33" s="477">
        <f>'Pro 2'!H42/1000</f>
        <v>0</v>
      </c>
      <c r="F33" s="477">
        <f>'Pro 2'!I42/1000</f>
        <v>0</v>
      </c>
      <c r="G33" s="477">
        <f>'Pro 2'!J42/1000</f>
        <v>0</v>
      </c>
      <c r="H33" s="477">
        <f>'Pro 2'!K42/1000</f>
        <v>0</v>
      </c>
      <c r="I33" s="477">
        <f>'Pro 2'!L42/1000</f>
        <v>0</v>
      </c>
      <c r="J33" s="476"/>
      <c r="K33" s="476"/>
      <c r="L33" s="474" t="str">
        <f>D33</f>
        <v>Total - Valeur (000 $)</v>
      </c>
      <c r="M33" s="466"/>
    </row>
    <row r="34" spans="2:13" x14ac:dyDescent="0.25">
      <c r="B34" s="483"/>
      <c r="C34" s="478" t="str">
        <f t="shared" si="6"/>
        <v>Total - Unit value ($/tonne)</v>
      </c>
      <c r="D34" s="478" t="str">
        <f t="shared" si="6"/>
        <v>Total - Valeur unitaire ($/tonne)</v>
      </c>
      <c r="E34" s="479">
        <f>IF(E32=0,0,E33/E32)*1000</f>
        <v>0</v>
      </c>
      <c r="F34" s="479">
        <f t="shared" ref="F34:I34" si="7">IF(F32=0,0,F33/F32)*1000</f>
        <v>0</v>
      </c>
      <c r="G34" s="479">
        <f t="shared" si="7"/>
        <v>0</v>
      </c>
      <c r="H34" s="479">
        <f t="shared" si="7"/>
        <v>0</v>
      </c>
      <c r="I34" s="479">
        <f t="shared" si="7"/>
        <v>0</v>
      </c>
      <c r="J34" s="480"/>
      <c r="K34" s="480"/>
      <c r="L34" s="478" t="str">
        <f>D34</f>
        <v>Total - Valeur unitaire ($/tonne)</v>
      </c>
      <c r="M34" s="484"/>
    </row>
    <row r="35" spans="2:13" x14ac:dyDescent="0.25">
      <c r="B35" s="463"/>
      <c r="C35" s="464"/>
      <c r="D35" s="464"/>
      <c r="E35" s="481"/>
      <c r="F35" s="481"/>
      <c r="G35" s="481"/>
      <c r="H35" s="481"/>
      <c r="I35" s="481"/>
      <c r="J35" s="481"/>
      <c r="K35" s="482"/>
      <c r="L35" s="464"/>
      <c r="M35" s="466"/>
    </row>
    <row r="36" spans="2:13" x14ac:dyDescent="0.25">
      <c r="B36" s="463"/>
      <c r="C36" s="470" t="s">
        <v>449</v>
      </c>
      <c r="D36" s="470" t="s">
        <v>225</v>
      </c>
      <c r="E36" s="481"/>
      <c r="F36" s="481"/>
      <c r="G36" s="481"/>
      <c r="H36" s="481"/>
      <c r="I36" s="481"/>
      <c r="J36" s="481"/>
      <c r="K36" s="482"/>
      <c r="L36" s="470" t="str">
        <f>D36</f>
        <v>Nombre d'employés</v>
      </c>
      <c r="M36" s="466"/>
    </row>
    <row r="37" spans="2:13" x14ac:dyDescent="0.25">
      <c r="B37" s="463"/>
      <c r="C37" s="474" t="s">
        <v>385</v>
      </c>
      <c r="D37" s="474" t="s">
        <v>69</v>
      </c>
      <c r="E37" s="477">
        <f>'Pro 3'!H102</f>
        <v>0</v>
      </c>
      <c r="F37" s="477">
        <f>'Pro 3'!I102</f>
        <v>0</v>
      </c>
      <c r="G37" s="477">
        <f>'Pro 3'!J102</f>
        <v>0</v>
      </c>
      <c r="H37" s="477">
        <f>'Pro 3'!K102</f>
        <v>0</v>
      </c>
      <c r="I37" s="477">
        <f>'Pro 3'!L102</f>
        <v>0</v>
      </c>
      <c r="J37" s="476"/>
      <c r="K37" s="476"/>
      <c r="L37" s="474" t="str">
        <f>D37</f>
        <v>Emploi direct</v>
      </c>
      <c r="M37" s="466"/>
    </row>
    <row r="38" spans="2:13" x14ac:dyDescent="0.25">
      <c r="B38" s="463"/>
      <c r="C38" s="474" t="s">
        <v>388</v>
      </c>
      <c r="D38" s="474" t="s">
        <v>71</v>
      </c>
      <c r="E38" s="477">
        <f>'Pro 3'!H103</f>
        <v>0</v>
      </c>
      <c r="F38" s="477">
        <f>'Pro 3'!I103</f>
        <v>0</v>
      </c>
      <c r="G38" s="477">
        <f>'Pro 3'!J103</f>
        <v>0</v>
      </c>
      <c r="H38" s="477">
        <f>'Pro 3'!K103</f>
        <v>0</v>
      </c>
      <c r="I38" s="477">
        <f>'Pro 3'!L103</f>
        <v>0</v>
      </c>
      <c r="J38" s="476"/>
      <c r="K38" s="476"/>
      <c r="L38" s="474" t="str">
        <f>D38</f>
        <v>Emploi indirect</v>
      </c>
      <c r="M38" s="466"/>
    </row>
    <row r="39" spans="2:13" x14ac:dyDescent="0.25">
      <c r="B39" s="483"/>
      <c r="C39" s="470" t="s">
        <v>843</v>
      </c>
      <c r="D39" s="470" t="s">
        <v>844</v>
      </c>
      <c r="E39" s="479">
        <f>SUM(E37:E38)</f>
        <v>0</v>
      </c>
      <c r="F39" s="479">
        <f t="shared" ref="F39:I39" si="8">SUM(F37:F38)</f>
        <v>0</v>
      </c>
      <c r="G39" s="479">
        <f t="shared" si="8"/>
        <v>0</v>
      </c>
      <c r="H39" s="479">
        <f t="shared" si="8"/>
        <v>0</v>
      </c>
      <c r="I39" s="479">
        <f t="shared" si="8"/>
        <v>0</v>
      </c>
      <c r="J39" s="480"/>
      <c r="K39" s="480"/>
      <c r="L39" s="470" t="str">
        <f>D39</f>
        <v>Total - Nombre d'employés</v>
      </c>
      <c r="M39" s="484"/>
    </row>
    <row r="40" spans="2:13" x14ac:dyDescent="0.25">
      <c r="B40" s="463"/>
      <c r="C40" s="487"/>
      <c r="D40" s="487"/>
      <c r="E40" s="481"/>
      <c r="F40" s="481"/>
      <c r="G40" s="481"/>
      <c r="H40" s="481"/>
      <c r="I40" s="481"/>
      <c r="J40" s="481"/>
      <c r="K40" s="482"/>
      <c r="L40" s="487"/>
      <c r="M40" s="466"/>
    </row>
    <row r="41" spans="2:13" x14ac:dyDescent="0.25">
      <c r="B41" s="463"/>
      <c r="C41" s="470" t="s">
        <v>845</v>
      </c>
      <c r="D41" s="470" t="s">
        <v>846</v>
      </c>
      <c r="E41" s="481"/>
      <c r="F41" s="481"/>
      <c r="G41" s="481"/>
      <c r="H41" s="481"/>
      <c r="I41" s="481"/>
      <c r="J41" s="481"/>
      <c r="K41" s="482"/>
      <c r="L41" s="470" t="str">
        <f>D41</f>
        <v>Nombre d'heures travaillées (000)</v>
      </c>
      <c r="M41" s="466"/>
    </row>
    <row r="42" spans="2:13" x14ac:dyDescent="0.25">
      <c r="B42" s="463"/>
      <c r="C42" s="474" t="str">
        <f>C37</f>
        <v>Direct employment</v>
      </c>
      <c r="D42" s="474" t="str">
        <f>D37</f>
        <v>Emploi direct</v>
      </c>
      <c r="E42" s="477">
        <f>'Pro 3'!H108/1000</f>
        <v>0</v>
      </c>
      <c r="F42" s="477">
        <f>'Pro 3'!I108/1000</f>
        <v>0</v>
      </c>
      <c r="G42" s="477">
        <f>'Pro 3'!J108/1000</f>
        <v>0</v>
      </c>
      <c r="H42" s="477">
        <f>'Pro 3'!K108/1000</f>
        <v>0</v>
      </c>
      <c r="I42" s="477">
        <f>'Pro 3'!L108/1000</f>
        <v>0</v>
      </c>
      <c r="J42" s="476"/>
      <c r="K42" s="476"/>
      <c r="L42" s="474" t="str">
        <f>D42</f>
        <v>Emploi direct</v>
      </c>
      <c r="M42" s="466"/>
    </row>
    <row r="43" spans="2:13" x14ac:dyDescent="0.25">
      <c r="B43" s="463"/>
      <c r="C43" s="474" t="str">
        <f>C38</f>
        <v>Indirect employment</v>
      </c>
      <c r="D43" s="474" t="str">
        <f>D38</f>
        <v>Emploi indirect</v>
      </c>
      <c r="E43" s="477">
        <f>'Pro 3'!H109/1000</f>
        <v>0</v>
      </c>
      <c r="F43" s="477">
        <f>'Pro 3'!I109/1000</f>
        <v>0</v>
      </c>
      <c r="G43" s="477">
        <f>'Pro 3'!J109/1000</f>
        <v>0</v>
      </c>
      <c r="H43" s="477">
        <f>'Pro 3'!K109/1000</f>
        <v>0</v>
      </c>
      <c r="I43" s="477">
        <f>'Pro 3'!L109/1000</f>
        <v>0</v>
      </c>
      <c r="J43" s="476"/>
      <c r="K43" s="476"/>
      <c r="L43" s="474" t="str">
        <f>D43</f>
        <v>Emploi indirect</v>
      </c>
      <c r="M43" s="466"/>
    </row>
    <row r="44" spans="2:13" x14ac:dyDescent="0.25">
      <c r="B44" s="483"/>
      <c r="C44" s="488" t="str">
        <f>"Total - "&amp;C41</f>
        <v>Total - Hours worked (000)</v>
      </c>
      <c r="D44" s="488" t="str">
        <f>"Total - "&amp;D41</f>
        <v>Total - Nombre d'heures travaillées (000)</v>
      </c>
      <c r="E44" s="479">
        <f>SUM(E42:E43)</f>
        <v>0</v>
      </c>
      <c r="F44" s="479">
        <f t="shared" ref="F44:I44" si="9">SUM(F42:F43)</f>
        <v>0</v>
      </c>
      <c r="G44" s="479">
        <f t="shared" si="9"/>
        <v>0</v>
      </c>
      <c r="H44" s="479">
        <f t="shared" si="9"/>
        <v>0</v>
      </c>
      <c r="I44" s="479">
        <f t="shared" si="9"/>
        <v>0</v>
      </c>
      <c r="J44" s="480"/>
      <c r="K44" s="480"/>
      <c r="L44" s="478" t="str">
        <f>D44</f>
        <v>Total - Nombre d'heures travaillées (000)</v>
      </c>
      <c r="M44" s="484"/>
    </row>
    <row r="45" spans="2:13" x14ac:dyDescent="0.25">
      <c r="B45" s="463"/>
      <c r="C45" s="487"/>
      <c r="D45" s="487"/>
      <c r="E45" s="476"/>
      <c r="F45" s="476"/>
      <c r="G45" s="476"/>
      <c r="H45" s="476"/>
      <c r="I45" s="476"/>
      <c r="J45" s="476"/>
      <c r="K45" s="476"/>
      <c r="L45" s="487"/>
      <c r="M45" s="466"/>
    </row>
    <row r="46" spans="2:13" x14ac:dyDescent="0.25">
      <c r="B46" s="463"/>
      <c r="C46" s="470" t="s">
        <v>564</v>
      </c>
      <c r="D46" s="470" t="s">
        <v>847</v>
      </c>
      <c r="E46" s="481"/>
      <c r="F46" s="481"/>
      <c r="G46" s="481"/>
      <c r="H46" s="481"/>
      <c r="I46" s="481"/>
      <c r="J46" s="481"/>
      <c r="K46" s="482"/>
      <c r="L46" s="470" t="str">
        <f>D46</f>
        <v>Salaires (000 $)</v>
      </c>
      <c r="M46" s="466"/>
    </row>
    <row r="47" spans="2:13" x14ac:dyDescent="0.25">
      <c r="B47" s="463"/>
      <c r="C47" s="474" t="str">
        <f>C42</f>
        <v>Direct employment</v>
      </c>
      <c r="D47" s="474" t="str">
        <f>D42</f>
        <v>Emploi direct</v>
      </c>
      <c r="E47" s="477">
        <f>SUM('Pro 3'!H114:H115)/1000</f>
        <v>0</v>
      </c>
      <c r="F47" s="477">
        <f>SUM('Pro 3'!I114:I115)/1000</f>
        <v>0</v>
      </c>
      <c r="G47" s="477">
        <f>SUM('Pro 3'!J114:J115)/1000</f>
        <v>0</v>
      </c>
      <c r="H47" s="477">
        <f>SUM('Pro 3'!K114:K115)/1000</f>
        <v>0</v>
      </c>
      <c r="I47" s="477">
        <f>SUM('Pro 3'!L114:L115)/1000</f>
        <v>0</v>
      </c>
      <c r="J47" s="476"/>
      <c r="K47" s="476"/>
      <c r="L47" s="474" t="str">
        <f>D47</f>
        <v>Emploi direct</v>
      </c>
      <c r="M47" s="466"/>
    </row>
    <row r="48" spans="2:13" x14ac:dyDescent="0.25">
      <c r="B48" s="463"/>
      <c r="C48" s="474" t="str">
        <f>C43</f>
        <v>Indirect employment</v>
      </c>
      <c r="D48" s="474" t="str">
        <f>D43</f>
        <v>Emploi indirect</v>
      </c>
      <c r="E48" s="477">
        <f>'Pro 3'!H116/1000</f>
        <v>0</v>
      </c>
      <c r="F48" s="477">
        <f>'Pro 3'!I116/1000</f>
        <v>0</v>
      </c>
      <c r="G48" s="477">
        <f>'Pro 3'!J116/1000</f>
        <v>0</v>
      </c>
      <c r="H48" s="477">
        <f>'Pro 3'!K116/1000</f>
        <v>0</v>
      </c>
      <c r="I48" s="477">
        <f>'Pro 3'!L116/1000</f>
        <v>0</v>
      </c>
      <c r="J48" s="476"/>
      <c r="K48" s="476"/>
      <c r="L48" s="474" t="str">
        <f>D48</f>
        <v>Emploi indirect</v>
      </c>
      <c r="M48" s="466"/>
    </row>
    <row r="49" spans="2:13" x14ac:dyDescent="0.25">
      <c r="B49" s="483"/>
      <c r="C49" s="488" t="str">
        <f>"Total - "&amp;C46</f>
        <v>Total - Wages ($000)</v>
      </c>
      <c r="D49" s="488" t="str">
        <f>"Total - "&amp;D46</f>
        <v>Total - Salaires (000 $)</v>
      </c>
      <c r="E49" s="479">
        <f>SUM(E47:E48)</f>
        <v>0</v>
      </c>
      <c r="F49" s="479">
        <f t="shared" ref="F49:I49" si="10">SUM(F47:F48)</f>
        <v>0</v>
      </c>
      <c r="G49" s="479">
        <f t="shared" si="10"/>
        <v>0</v>
      </c>
      <c r="H49" s="479">
        <f t="shared" si="10"/>
        <v>0</v>
      </c>
      <c r="I49" s="479">
        <f t="shared" si="10"/>
        <v>0</v>
      </c>
      <c r="J49" s="480"/>
      <c r="K49" s="480"/>
      <c r="L49" s="478" t="str">
        <f>D49</f>
        <v>Total - Salaires (000 $)</v>
      </c>
      <c r="M49" s="484"/>
    </row>
    <row r="50" spans="2:13" x14ac:dyDescent="0.25">
      <c r="B50" s="463"/>
      <c r="C50" s="474"/>
      <c r="D50" s="474"/>
      <c r="E50" s="476"/>
      <c r="F50" s="476"/>
      <c r="G50" s="476"/>
      <c r="H50" s="476"/>
      <c r="I50" s="476"/>
      <c r="J50" s="476"/>
      <c r="K50" s="476"/>
      <c r="L50" s="474"/>
      <c r="M50" s="466"/>
    </row>
    <row r="51" spans="2:13" x14ac:dyDescent="0.25">
      <c r="B51" s="463"/>
      <c r="C51" s="470" t="s">
        <v>82</v>
      </c>
      <c r="D51" s="470" t="s">
        <v>83</v>
      </c>
      <c r="E51" s="476"/>
      <c r="F51" s="476"/>
      <c r="G51" s="476"/>
      <c r="H51" s="476"/>
      <c r="I51" s="476"/>
      <c r="J51" s="476"/>
      <c r="K51" s="476"/>
      <c r="L51" s="470" t="str">
        <f>D51</f>
        <v>Productivité</v>
      </c>
      <c r="M51" s="466"/>
    </row>
    <row r="52" spans="2:13" x14ac:dyDescent="0.25">
      <c r="B52" s="463"/>
      <c r="C52" s="474" t="s">
        <v>566</v>
      </c>
      <c r="D52" s="474" t="s">
        <v>848</v>
      </c>
      <c r="E52" s="68">
        <f>IF(E37=0,0,E$14/E37)</f>
        <v>0</v>
      </c>
      <c r="F52" s="68">
        <f t="shared" ref="F52:I52" si="11">IF(F37=0,0,F$14/F37)</f>
        <v>0</v>
      </c>
      <c r="G52" s="68">
        <f t="shared" si="11"/>
        <v>0</v>
      </c>
      <c r="H52" s="68">
        <f t="shared" si="11"/>
        <v>0</v>
      </c>
      <c r="I52" s="68">
        <f t="shared" si="11"/>
        <v>0</v>
      </c>
      <c r="J52" s="476"/>
      <c r="K52" s="476"/>
      <c r="L52" s="474" t="str">
        <f>D52</f>
        <v>Tonnes / employé (direct)</v>
      </c>
      <c r="M52" s="466"/>
    </row>
    <row r="53" spans="2:13" x14ac:dyDescent="0.25">
      <c r="B53" s="463"/>
      <c r="C53" s="474" t="s">
        <v>567</v>
      </c>
      <c r="D53" s="474" t="s">
        <v>849</v>
      </c>
      <c r="E53" s="68">
        <f>IF(E42=0,0,E$14/(E42*1000))</f>
        <v>0</v>
      </c>
      <c r="F53" s="68">
        <f t="shared" ref="F53:I53" si="12">IF(F42=0,0,F$14/(F42*1000))</f>
        <v>0</v>
      </c>
      <c r="G53" s="68">
        <f t="shared" si="12"/>
        <v>0</v>
      </c>
      <c r="H53" s="68">
        <f t="shared" si="12"/>
        <v>0</v>
      </c>
      <c r="I53" s="68">
        <f t="shared" si="12"/>
        <v>0</v>
      </c>
      <c r="J53" s="476"/>
      <c r="K53" s="476"/>
      <c r="L53" s="474" t="str">
        <f>D53</f>
        <v>Tonnes / heure travaillée (direct)</v>
      </c>
      <c r="M53" s="466"/>
    </row>
    <row r="54" spans="2:13" x14ac:dyDescent="0.25">
      <c r="B54" s="463"/>
      <c r="C54" s="487"/>
      <c r="D54" s="487"/>
      <c r="E54" s="476"/>
      <c r="F54" s="476"/>
      <c r="G54" s="476"/>
      <c r="H54" s="476"/>
      <c r="I54" s="476"/>
      <c r="J54" s="476"/>
      <c r="K54" s="476"/>
      <c r="L54" s="487"/>
      <c r="M54" s="466"/>
    </row>
    <row r="55" spans="2:13" x14ac:dyDescent="0.25">
      <c r="B55" s="463"/>
      <c r="C55" s="470" t="s">
        <v>568</v>
      </c>
      <c r="D55" s="470" t="s">
        <v>850</v>
      </c>
      <c r="E55" s="476"/>
      <c r="F55" s="476"/>
      <c r="G55" s="476"/>
      <c r="H55" s="476"/>
      <c r="I55" s="476"/>
      <c r="J55" s="476"/>
      <c r="K55" s="476"/>
      <c r="L55" s="470" t="str">
        <f>D55</f>
        <v>Stocks</v>
      </c>
      <c r="M55" s="466"/>
    </row>
    <row r="56" spans="2:13" x14ac:dyDescent="0.25">
      <c r="B56" s="463"/>
      <c r="C56" s="474" t="str">
        <f t="shared" ref="C56:D58" si="13">C32</f>
        <v>Total - Volume (tonnes)</v>
      </c>
      <c r="D56" s="474" t="str">
        <f t="shared" si="13"/>
        <v>Total - Volume (tonnes)</v>
      </c>
      <c r="E56" s="477">
        <f>'Pro 2'!H44</f>
        <v>0</v>
      </c>
      <c r="F56" s="477">
        <f>'Pro 2'!I44</f>
        <v>0</v>
      </c>
      <c r="G56" s="477">
        <f>'Pro 2'!J44</f>
        <v>0</v>
      </c>
      <c r="H56" s="477">
        <f>'Pro 2'!K44</f>
        <v>0</v>
      </c>
      <c r="I56" s="477">
        <f>'Pro 2'!L44</f>
        <v>0</v>
      </c>
      <c r="J56" s="476"/>
      <c r="K56" s="476"/>
      <c r="L56" s="474" t="str">
        <f>D56</f>
        <v>Total - Volume (tonnes)</v>
      </c>
      <c r="M56" s="466"/>
    </row>
    <row r="57" spans="2:13" x14ac:dyDescent="0.25">
      <c r="B57" s="463"/>
      <c r="C57" s="474" t="str">
        <f t="shared" si="13"/>
        <v>Total - Value ($000)</v>
      </c>
      <c r="D57" s="474" t="str">
        <f t="shared" si="13"/>
        <v>Total - Valeur (000 $)</v>
      </c>
      <c r="E57" s="477">
        <f>'Pro 2'!H45/1000</f>
        <v>0</v>
      </c>
      <c r="F57" s="477">
        <f>'Pro 2'!I45/1000</f>
        <v>0</v>
      </c>
      <c r="G57" s="477">
        <f>'Pro 2'!J45/1000</f>
        <v>0</v>
      </c>
      <c r="H57" s="477">
        <f>'Pro 2'!K45/1000</f>
        <v>0</v>
      </c>
      <c r="I57" s="477">
        <f>'Pro 2'!L45/1000</f>
        <v>0</v>
      </c>
      <c r="J57" s="476"/>
      <c r="K57" s="476"/>
      <c r="L57" s="474" t="str">
        <f>D57</f>
        <v>Total - Valeur (000 $)</v>
      </c>
      <c r="M57" s="466"/>
    </row>
    <row r="58" spans="2:13" x14ac:dyDescent="0.25">
      <c r="B58" s="483"/>
      <c r="C58" s="478" t="str">
        <f t="shared" si="13"/>
        <v>Total - Unit value ($/tonne)</v>
      </c>
      <c r="D58" s="478" t="str">
        <f t="shared" si="13"/>
        <v>Total - Valeur unitaire ($/tonne)</v>
      </c>
      <c r="E58" s="479">
        <f>IF(E56=0,0,E57/E56)*1000</f>
        <v>0</v>
      </c>
      <c r="F58" s="479">
        <f t="shared" ref="F58:I58" si="14">IF(F56=0,0,F57/F56)*1000</f>
        <v>0</v>
      </c>
      <c r="G58" s="479">
        <f t="shared" si="14"/>
        <v>0</v>
      </c>
      <c r="H58" s="479">
        <f t="shared" si="14"/>
        <v>0</v>
      </c>
      <c r="I58" s="479">
        <f t="shared" si="14"/>
        <v>0</v>
      </c>
      <c r="J58" s="480"/>
      <c r="K58" s="480"/>
      <c r="L58" s="478" t="str">
        <f>D58</f>
        <v>Total - Valeur unitaire ($/tonne)</v>
      </c>
      <c r="M58" s="484"/>
    </row>
    <row r="59" spans="2:13" x14ac:dyDescent="0.25">
      <c r="B59" s="463"/>
      <c r="C59" s="487"/>
      <c r="D59" s="487"/>
      <c r="E59" s="476"/>
      <c r="F59" s="476"/>
      <c r="G59" s="476"/>
      <c r="H59" s="476"/>
      <c r="I59" s="476"/>
      <c r="J59" s="476"/>
      <c r="K59" s="476"/>
      <c r="L59" s="487"/>
      <c r="M59" s="466"/>
    </row>
    <row r="60" spans="2:13" x14ac:dyDescent="0.25">
      <c r="B60" s="432"/>
      <c r="C60" s="487"/>
      <c r="D60" s="487"/>
      <c r="E60" s="476"/>
      <c r="F60" s="476"/>
      <c r="G60" s="476"/>
      <c r="H60" s="958" t="s">
        <v>851</v>
      </c>
      <c r="I60" s="958"/>
      <c r="J60" s="958"/>
      <c r="K60" s="489"/>
      <c r="L60" s="487"/>
      <c r="M60" s="466"/>
    </row>
    <row r="61" spans="2:13" x14ac:dyDescent="0.25">
      <c r="B61" s="463"/>
      <c r="C61" s="487"/>
      <c r="D61" s="487"/>
      <c r="E61" s="415">
        <v>2022</v>
      </c>
      <c r="F61" s="415">
        <v>2023</v>
      </c>
      <c r="G61" s="415">
        <v>2024</v>
      </c>
      <c r="H61" s="490">
        <v>2025</v>
      </c>
      <c r="I61" s="490">
        <v>2027</v>
      </c>
      <c r="J61" s="490">
        <v>2028</v>
      </c>
      <c r="K61" s="473"/>
      <c r="L61" s="487"/>
      <c r="M61" s="466"/>
    </row>
    <row r="62" spans="2:13" x14ac:dyDescent="0.25">
      <c r="B62" s="463"/>
      <c r="C62" s="470" t="s">
        <v>852</v>
      </c>
      <c r="D62" s="470" t="s">
        <v>853</v>
      </c>
      <c r="E62" s="68">
        <f>'Pro 3'!E304</f>
        <v>0</v>
      </c>
      <c r="F62" s="68">
        <f>'Pro 3'!F304</f>
        <v>0</v>
      </c>
      <c r="G62" s="68">
        <f>'Pro 3'!G304</f>
        <v>0</v>
      </c>
      <c r="H62" s="68">
        <f>'Pro 3'!H304</f>
        <v>0</v>
      </c>
      <c r="I62" s="68">
        <f>'Pro 3'!I304</f>
        <v>0</v>
      </c>
      <c r="J62" s="68">
        <f>'Pro 3'!J304</f>
        <v>0</v>
      </c>
      <c r="K62" s="476"/>
      <c r="L62" s="470" t="str">
        <f>D62</f>
        <v>Investissements (000 $)</v>
      </c>
      <c r="M62" s="466"/>
    </row>
    <row r="63" spans="2:13" x14ac:dyDescent="0.25">
      <c r="B63" s="463"/>
      <c r="C63" s="491"/>
      <c r="D63" s="492"/>
      <c r="E63" s="464"/>
      <c r="F63" s="464"/>
      <c r="G63" s="464"/>
      <c r="H63" s="464"/>
      <c r="I63" s="464"/>
      <c r="J63" s="464"/>
      <c r="K63" s="464"/>
      <c r="L63" s="464"/>
      <c r="M63" s="466"/>
    </row>
    <row r="64" spans="2:13" x14ac:dyDescent="0.25">
      <c r="B64" s="463"/>
      <c r="C64" s="492" t="s">
        <v>823</v>
      </c>
      <c r="D64" s="492"/>
      <c r="E64" s="464"/>
      <c r="F64" s="464"/>
      <c r="G64" s="464"/>
      <c r="H64" s="464"/>
      <c r="I64" s="464"/>
      <c r="J64" s="464"/>
      <c r="K64" s="464"/>
      <c r="L64" s="464"/>
      <c r="M64" s="466"/>
    </row>
    <row r="65" spans="2:13" x14ac:dyDescent="0.25">
      <c r="B65" s="463"/>
      <c r="C65" s="492"/>
      <c r="D65" s="492"/>
      <c r="E65" s="464"/>
      <c r="F65" s="464"/>
      <c r="G65" s="464"/>
      <c r="H65" s="464"/>
      <c r="I65" s="464"/>
      <c r="J65" s="464"/>
      <c r="K65" s="464"/>
      <c r="L65" s="464"/>
      <c r="M65" s="466"/>
    </row>
    <row r="66" spans="2:13" x14ac:dyDescent="0.25">
      <c r="B66" s="463"/>
      <c r="C66" s="492" t="s">
        <v>825</v>
      </c>
      <c r="D66" s="492"/>
      <c r="E66" s="464"/>
      <c r="F66" s="464"/>
      <c r="G66" s="464"/>
      <c r="H66" s="464"/>
      <c r="I66" s="464"/>
      <c r="J66" s="464"/>
      <c r="K66" s="464"/>
      <c r="L66" s="464"/>
      <c r="M66" s="466"/>
    </row>
    <row r="67" spans="2:13" ht="15.75" thickBot="1" x14ac:dyDescent="0.3">
      <c r="B67" s="493"/>
      <c r="C67" s="451"/>
      <c r="D67" s="451"/>
      <c r="E67" s="494"/>
      <c r="F67" s="494"/>
      <c r="G67" s="494"/>
      <c r="H67" s="494"/>
      <c r="I67" s="494"/>
      <c r="J67" s="494"/>
      <c r="K67" s="494"/>
      <c r="L67" s="494"/>
      <c r="M67" s="495"/>
    </row>
  </sheetData>
  <sheetProtection algorithmName="SHA-512" hashValue="sDryeyQYSegNrUEf3GvhbS84SHJ1o+JkX1uDdta/uHJpuP0ds66Dk81VllPmQa1ziJRdEMnEih1QTG2RSrv2fQ==" saltValue="E9OQNC1EJMd1B+h+YWOqog==" spinCount="100000" sheet="1" objects="1" scenarios="1" selectLockedCells="1"/>
  <mergeCells count="8">
    <mergeCell ref="H60:J60"/>
    <mergeCell ref="H5:I5"/>
    <mergeCell ref="C15:C16"/>
    <mergeCell ref="D15:D16"/>
    <mergeCell ref="L15:L16"/>
    <mergeCell ref="C23:C24"/>
    <mergeCell ref="D23:D24"/>
    <mergeCell ref="L23:L24"/>
  </mergeCells>
  <dataValidations count="4">
    <dataValidation type="list" allowBlank="1" showInputMessage="1" showErrorMessage="1" sqref="D5:D8" xr:uid="{E268AD52-A363-4B03-AFE7-B9959E80CBDA}">
      <formula1>$D$1:$D$8</formula1>
    </dataValidation>
    <dataValidation type="list" allowBlank="1" showInputMessage="1" showErrorMessage="1" sqref="B5" xr:uid="{BCCA1BDE-CF0C-4DA8-9873-958D4A441977}">
      <formula1>$B$1:$B$3</formula1>
    </dataValidation>
    <dataValidation type="list" allowBlank="1" showInputMessage="1" showErrorMessage="1" sqref="C5:C8" xr:uid="{4BAB1F43-742D-4E23-A177-6FB903F0B2B7}">
      <formula1>$C$1:$C$6</formula1>
    </dataValidation>
    <dataValidation type="list" allowBlank="1" showInputMessage="1" showErrorMessage="1" sqref="H5:H8" xr:uid="{4219EBC1-71A0-40CA-9442-D30A39CD197E}">
      <formula1>$H$1:$H$3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1E5C-2BBF-4326-A723-F6A749B445DE}">
  <sheetPr>
    <tabColor rgb="FFFF0000"/>
  </sheetPr>
  <dimension ref="A4:W27"/>
  <sheetViews>
    <sheetView workbookViewId="0">
      <selection activeCell="A5" sqref="A5"/>
    </sheetView>
  </sheetViews>
  <sheetFormatPr defaultRowHeight="15" x14ac:dyDescent="0.25"/>
  <cols>
    <col min="1" max="1" width="2" customWidth="1"/>
    <col min="2" max="2" width="38.5703125" customWidth="1"/>
    <col min="3" max="3" width="9.28515625" hidden="1" customWidth="1"/>
    <col min="4" max="8" width="10" customWidth="1"/>
    <col min="9" max="9" width="0" hidden="1" customWidth="1"/>
    <col min="10" max="10" width="41.28515625" customWidth="1"/>
    <col min="11" max="11" width="2" customWidth="1"/>
    <col min="12" max="12" width="2.7109375" customWidth="1"/>
    <col min="13" max="13" width="4.28515625" customWidth="1"/>
    <col min="14" max="14" width="38.5703125" customWidth="1"/>
    <col min="15" max="15" width="9.28515625" hidden="1" customWidth="1"/>
    <col min="16" max="20" width="10" customWidth="1"/>
    <col min="21" max="21" width="0" hidden="1" customWidth="1"/>
    <col min="22" max="22" width="41.28515625" customWidth="1"/>
    <col min="23" max="23" width="4.28515625" customWidth="1"/>
  </cols>
  <sheetData>
    <row r="4" spans="1:23" x14ac:dyDescent="0.25">
      <c r="A4" s="406"/>
      <c r="B4" s="406"/>
      <c r="C4" s="406"/>
      <c r="D4" s="496">
        <f>'Pro 1'!G21</f>
        <v>0</v>
      </c>
      <c r="E4" s="496">
        <f>'Pro 1'!H21</f>
        <v>0</v>
      </c>
      <c r="F4" s="496">
        <f>'Pro 1'!I21</f>
        <v>0</v>
      </c>
      <c r="G4" s="496">
        <f>'Pro 1'!J21</f>
        <v>0</v>
      </c>
      <c r="H4" s="496">
        <f>'Pro 1'!K21</f>
        <v>0</v>
      </c>
      <c r="I4" s="497"/>
      <c r="J4" s="497"/>
      <c r="K4" s="497"/>
      <c r="L4" s="497"/>
      <c r="M4" s="497"/>
      <c r="P4" s="496">
        <f>'Pro 1'!G22</f>
        <v>0</v>
      </c>
      <c r="Q4" s="496">
        <f>'Pro 1'!H22</f>
        <v>0</v>
      </c>
      <c r="R4" s="496">
        <f>'Pro 1'!I22</f>
        <v>0</v>
      </c>
      <c r="S4" s="496">
        <f>'Pro 1'!J22</f>
        <v>0</v>
      </c>
      <c r="T4" s="496">
        <f>'Pro 1'!K22</f>
        <v>0</v>
      </c>
    </row>
    <row r="5" spans="1:23" ht="15.75" thickBot="1" x14ac:dyDescent="0.3">
      <c r="A5" s="411"/>
      <c r="B5" s="411"/>
      <c r="C5" s="411"/>
      <c r="D5" s="498"/>
      <c r="E5" s="498"/>
      <c r="F5" s="498"/>
      <c r="G5" s="498"/>
      <c r="H5" s="499"/>
      <c r="I5" s="500"/>
      <c r="J5" s="501"/>
      <c r="K5" s="501"/>
      <c r="L5" s="501"/>
      <c r="M5" s="501"/>
    </row>
    <row r="6" spans="1:23" x14ac:dyDescent="0.25">
      <c r="A6" s="401"/>
      <c r="B6" s="502"/>
      <c r="C6" s="502"/>
      <c r="D6" s="403"/>
      <c r="E6" s="403"/>
      <c r="F6" s="403"/>
      <c r="G6" s="403"/>
      <c r="H6" s="403"/>
      <c r="I6" s="403"/>
      <c r="J6" s="503"/>
      <c r="K6" s="404"/>
      <c r="L6" s="405"/>
      <c r="M6" s="401"/>
      <c r="N6" s="502"/>
      <c r="O6" s="502"/>
      <c r="P6" s="403"/>
      <c r="Q6" s="403"/>
      <c r="R6" s="403"/>
      <c r="S6" s="403"/>
      <c r="T6" s="403"/>
      <c r="U6" s="403"/>
      <c r="V6" s="503"/>
      <c r="W6" s="404"/>
    </row>
    <row r="7" spans="1:23" x14ac:dyDescent="0.25">
      <c r="A7" s="413"/>
      <c r="B7" s="504"/>
      <c r="C7" s="504"/>
      <c r="D7" s="408"/>
      <c r="E7" s="408"/>
      <c r="F7" s="408"/>
      <c r="G7" s="408"/>
      <c r="H7" s="408"/>
      <c r="I7" s="408"/>
      <c r="J7" s="504"/>
      <c r="K7" s="442"/>
      <c r="L7" s="443"/>
      <c r="M7" s="432"/>
      <c r="N7" s="504"/>
      <c r="O7" s="504"/>
      <c r="P7" s="408"/>
      <c r="Q7" s="408"/>
      <c r="R7" s="408"/>
      <c r="S7" s="408"/>
      <c r="T7" s="408"/>
      <c r="U7" s="408"/>
      <c r="V7" s="504"/>
      <c r="W7" s="442"/>
    </row>
    <row r="8" spans="1:23" x14ac:dyDescent="0.25">
      <c r="A8" s="413"/>
      <c r="B8" s="453">
        <f>Intro!E77</f>
        <v>0</v>
      </c>
      <c r="C8" s="415"/>
      <c r="D8" s="960" t="s">
        <v>854</v>
      </c>
      <c r="E8" s="960"/>
      <c r="F8" s="960"/>
      <c r="G8" s="960"/>
      <c r="H8" s="960"/>
      <c r="I8" s="505"/>
      <c r="J8" s="504"/>
      <c r="K8" s="442"/>
      <c r="L8" s="443"/>
      <c r="M8" s="432"/>
      <c r="N8" s="453">
        <f>B8</f>
        <v>0</v>
      </c>
      <c r="O8" s="415"/>
      <c r="P8" s="960" t="str">
        <f>D8</f>
        <v>$/tonne manufactured | $/tonne fabriquée</v>
      </c>
      <c r="Q8" s="960"/>
      <c r="R8" s="960"/>
      <c r="S8" s="960"/>
      <c r="T8" s="960"/>
      <c r="U8" s="505"/>
      <c r="V8" s="504"/>
      <c r="W8" s="442"/>
    </row>
    <row r="9" spans="1:23" x14ac:dyDescent="0.25">
      <c r="A9" s="413"/>
      <c r="B9" s="409"/>
      <c r="C9" s="409"/>
      <c r="D9" s="409"/>
      <c r="E9" s="409"/>
      <c r="F9" s="409"/>
      <c r="G9" s="954" t="s">
        <v>809</v>
      </c>
      <c r="H9" s="954"/>
      <c r="I9" s="412"/>
      <c r="J9" s="506"/>
      <c r="K9" s="410"/>
      <c r="L9" s="405"/>
      <c r="M9" s="413"/>
      <c r="N9" s="409"/>
      <c r="O9" s="409"/>
      <c r="P9" s="409"/>
      <c r="Q9" s="409"/>
      <c r="R9" s="409"/>
      <c r="S9" s="961" t="str">
        <f>G9</f>
        <v>Jan. - Jun.  |  janv. - juin</v>
      </c>
      <c r="T9" s="961"/>
      <c r="U9" s="507"/>
      <c r="V9" s="506"/>
      <c r="W9" s="410"/>
    </row>
    <row r="10" spans="1:23" x14ac:dyDescent="0.25">
      <c r="A10" s="413"/>
      <c r="B10" s="508" t="s">
        <v>855</v>
      </c>
      <c r="C10" s="508" t="s">
        <v>856</v>
      </c>
      <c r="D10" s="509">
        <v>2022</v>
      </c>
      <c r="E10" s="509">
        <v>2023</v>
      </c>
      <c r="F10" s="509">
        <v>2024</v>
      </c>
      <c r="G10" s="509">
        <v>2024</v>
      </c>
      <c r="H10" s="509">
        <v>2025</v>
      </c>
      <c r="I10" s="509"/>
      <c r="J10" s="510" t="str">
        <f>C10</f>
        <v>Matériaux</v>
      </c>
      <c r="K10" s="410"/>
      <c r="L10" s="405"/>
      <c r="M10" s="413"/>
      <c r="N10" s="508" t="str">
        <f>B10</f>
        <v>Material</v>
      </c>
      <c r="O10" s="508" t="str">
        <f>C10</f>
        <v>Matériaux</v>
      </c>
      <c r="P10" s="509">
        <f>D10</f>
        <v>2022</v>
      </c>
      <c r="Q10" s="509">
        <f>E10</f>
        <v>2023</v>
      </c>
      <c r="R10" s="509">
        <f>F10</f>
        <v>2024</v>
      </c>
      <c r="S10" s="509">
        <f>G10</f>
        <v>2024</v>
      </c>
      <c r="T10" s="509">
        <f>H10</f>
        <v>2025</v>
      </c>
      <c r="U10" s="509"/>
      <c r="V10" s="510" t="str">
        <f>O10</f>
        <v>Matériaux</v>
      </c>
      <c r="W10" s="410"/>
    </row>
    <row r="11" spans="1:23" x14ac:dyDescent="0.25">
      <c r="A11" s="511"/>
      <c r="B11" s="512"/>
      <c r="C11" s="512"/>
      <c r="D11" s="513"/>
      <c r="E11" s="513"/>
      <c r="F11" s="513"/>
      <c r="G11" s="513"/>
      <c r="H11" s="513"/>
      <c r="I11" s="513"/>
      <c r="J11" s="514"/>
      <c r="K11" s="515"/>
      <c r="L11" s="516"/>
      <c r="M11" s="511"/>
      <c r="N11" s="512"/>
      <c r="O11" s="512"/>
      <c r="P11" s="513"/>
      <c r="Q11" s="513"/>
      <c r="R11" s="513"/>
      <c r="S11" s="513"/>
      <c r="T11" s="513"/>
      <c r="U11" s="513"/>
      <c r="V11" s="514"/>
      <c r="W11" s="515"/>
    </row>
    <row r="12" spans="1:23" x14ac:dyDescent="0.25">
      <c r="A12" s="413"/>
      <c r="B12" s="437" t="str">
        <f>""""&amp;B23&amp;""""</f>
        <v>"0"</v>
      </c>
      <c r="C12" s="517" t="str">
        <f>"« "&amp;C23&amp;" » "</f>
        <v xml:space="preserve">« 0 » </v>
      </c>
      <c r="D12" s="518">
        <f>IF(ISERROR(D23/D$4),0,(D23/D$4))*1000</f>
        <v>0</v>
      </c>
      <c r="E12" s="518">
        <f t="shared" ref="E12:H12" si="0">IF(ISERROR(E23/E$4),0,(E23/E$4))*1000</f>
        <v>0</v>
      </c>
      <c r="F12" s="518">
        <f t="shared" si="0"/>
        <v>0</v>
      </c>
      <c r="G12" s="518">
        <f t="shared" si="0"/>
        <v>0</v>
      </c>
      <c r="H12" s="518">
        <f t="shared" si="0"/>
        <v>0</v>
      </c>
      <c r="I12" s="518"/>
      <c r="J12" s="519" t="str">
        <f>C12</f>
        <v xml:space="preserve">« 0 » </v>
      </c>
      <c r="K12" s="410"/>
      <c r="L12" s="405"/>
      <c r="M12" s="413"/>
      <c r="N12" s="437" t="str">
        <f>""""&amp;N23&amp;""""</f>
        <v>"0"</v>
      </c>
      <c r="O12" s="517" t="str">
        <f>"« "&amp;O23&amp;" » "</f>
        <v xml:space="preserve">« 0 » </v>
      </c>
      <c r="P12" s="518">
        <f>IF(ISERROR(P23/P$4),0,(P23/P$4))*1000</f>
        <v>0</v>
      </c>
      <c r="Q12" s="518">
        <f t="shared" ref="Q12:T12" si="1">IF(ISERROR(Q23/Q$4),0,(Q23/Q$4))*1000</f>
        <v>0</v>
      </c>
      <c r="R12" s="518">
        <f t="shared" si="1"/>
        <v>0</v>
      </c>
      <c r="S12" s="518">
        <f t="shared" si="1"/>
        <v>0</v>
      </c>
      <c r="T12" s="518">
        <f t="shared" si="1"/>
        <v>0</v>
      </c>
      <c r="U12" s="518"/>
      <c r="V12" s="520" t="str">
        <f>O12</f>
        <v xml:space="preserve">« 0 » </v>
      </c>
      <c r="W12" s="410"/>
    </row>
    <row r="13" spans="1:23" x14ac:dyDescent="0.25">
      <c r="A13" s="413"/>
      <c r="B13" s="437" t="str">
        <f t="shared" ref="B13:B14" si="2">""""&amp;B24&amp;""""</f>
        <v>"0"</v>
      </c>
      <c r="C13" s="517" t="str">
        <f t="shared" ref="C13:C14" si="3">"« "&amp;C24&amp;" » "</f>
        <v xml:space="preserve">« 0 » </v>
      </c>
      <c r="D13" s="518">
        <f t="shared" ref="D13:H16" si="4">IF(ISERROR(D24/D$4),0,(D24/D$4))*1000</f>
        <v>0</v>
      </c>
      <c r="E13" s="518">
        <f t="shared" si="4"/>
        <v>0</v>
      </c>
      <c r="F13" s="518">
        <f t="shared" si="4"/>
        <v>0</v>
      </c>
      <c r="G13" s="518">
        <f t="shared" si="4"/>
        <v>0</v>
      </c>
      <c r="H13" s="518">
        <f t="shared" si="4"/>
        <v>0</v>
      </c>
      <c r="I13" s="518"/>
      <c r="J13" s="519" t="str">
        <f>C13</f>
        <v xml:space="preserve">« 0 » </v>
      </c>
      <c r="K13" s="410"/>
      <c r="L13" s="405"/>
      <c r="M13" s="413"/>
      <c r="N13" s="437" t="str">
        <f t="shared" ref="N13:N14" si="5">""""&amp;N24&amp;""""</f>
        <v>"0"</v>
      </c>
      <c r="O13" s="517" t="str">
        <f t="shared" ref="O13:O14" si="6">"« "&amp;O24&amp;" » "</f>
        <v xml:space="preserve">« 0 » </v>
      </c>
      <c r="P13" s="518">
        <f t="shared" ref="P13:T16" si="7">IF(ISERROR(P24/P$4),0,(P24/P$4))*1000</f>
        <v>0</v>
      </c>
      <c r="Q13" s="518">
        <f t="shared" si="7"/>
        <v>0</v>
      </c>
      <c r="R13" s="518">
        <f t="shared" si="7"/>
        <v>0</v>
      </c>
      <c r="S13" s="518">
        <f t="shared" si="7"/>
        <v>0</v>
      </c>
      <c r="T13" s="518">
        <f t="shared" si="7"/>
        <v>0</v>
      </c>
      <c r="U13" s="518"/>
      <c r="V13" s="520" t="str">
        <f>O13</f>
        <v xml:space="preserve">« 0 » </v>
      </c>
      <c r="W13" s="410"/>
    </row>
    <row r="14" spans="1:23" x14ac:dyDescent="0.25">
      <c r="A14" s="413"/>
      <c r="B14" s="437" t="str">
        <f t="shared" si="2"/>
        <v>"0"</v>
      </c>
      <c r="C14" s="517" t="str">
        <f t="shared" si="3"/>
        <v xml:space="preserve">« 0 » </v>
      </c>
      <c r="D14" s="518">
        <f t="shared" si="4"/>
        <v>0</v>
      </c>
      <c r="E14" s="518">
        <f t="shared" si="4"/>
        <v>0</v>
      </c>
      <c r="F14" s="518">
        <f t="shared" si="4"/>
        <v>0</v>
      </c>
      <c r="G14" s="518">
        <f t="shared" si="4"/>
        <v>0</v>
      </c>
      <c r="H14" s="518">
        <f t="shared" si="4"/>
        <v>0</v>
      </c>
      <c r="I14" s="518"/>
      <c r="J14" s="519" t="str">
        <f>C14</f>
        <v xml:space="preserve">« 0 » </v>
      </c>
      <c r="K14" s="410"/>
      <c r="L14" s="405"/>
      <c r="M14" s="413"/>
      <c r="N14" s="437" t="str">
        <f t="shared" si="5"/>
        <v>"0"</v>
      </c>
      <c r="O14" s="517" t="str">
        <f t="shared" si="6"/>
        <v xml:space="preserve">« 0 » </v>
      </c>
      <c r="P14" s="518">
        <f t="shared" si="7"/>
        <v>0</v>
      </c>
      <c r="Q14" s="518">
        <f t="shared" si="7"/>
        <v>0</v>
      </c>
      <c r="R14" s="518">
        <f t="shared" si="7"/>
        <v>0</v>
      </c>
      <c r="S14" s="518">
        <f t="shared" si="7"/>
        <v>0</v>
      </c>
      <c r="T14" s="518">
        <f t="shared" si="7"/>
        <v>0</v>
      </c>
      <c r="U14" s="518"/>
      <c r="V14" s="520" t="str">
        <f>O14</f>
        <v xml:space="preserve">« 0 » </v>
      </c>
      <c r="W14" s="410"/>
    </row>
    <row r="15" spans="1:23" ht="26.25" x14ac:dyDescent="0.25">
      <c r="A15" s="413"/>
      <c r="B15" s="437" t="str">
        <f t="shared" ref="B15:C15" si="8">B26</f>
        <v>All other direct materials used</v>
      </c>
      <c r="C15" s="517" t="str">
        <f t="shared" si="8"/>
        <v>Toutes les autres matières directes utilisées</v>
      </c>
      <c r="D15" s="518">
        <f t="shared" si="4"/>
        <v>0</v>
      </c>
      <c r="E15" s="518">
        <f t="shared" si="4"/>
        <v>0</v>
      </c>
      <c r="F15" s="518">
        <f t="shared" si="4"/>
        <v>0</v>
      </c>
      <c r="G15" s="518">
        <f t="shared" si="4"/>
        <v>0</v>
      </c>
      <c r="H15" s="518">
        <f t="shared" si="4"/>
        <v>0</v>
      </c>
      <c r="I15" s="518"/>
      <c r="J15" s="521" t="str">
        <f>C15</f>
        <v>Toutes les autres matières directes utilisées</v>
      </c>
      <c r="K15" s="410"/>
      <c r="L15" s="405"/>
      <c r="M15" s="413"/>
      <c r="N15" s="522" t="str">
        <f>B15</f>
        <v>All other direct materials used</v>
      </c>
      <c r="O15" s="517" t="str">
        <f t="shared" ref="O15" si="9">O26</f>
        <v>Toutes les autres matières directes utilisées</v>
      </c>
      <c r="P15" s="518">
        <f t="shared" si="7"/>
        <v>0</v>
      </c>
      <c r="Q15" s="518">
        <f t="shared" si="7"/>
        <v>0</v>
      </c>
      <c r="R15" s="518">
        <f t="shared" si="7"/>
        <v>0</v>
      </c>
      <c r="S15" s="518">
        <f t="shared" si="7"/>
        <v>0</v>
      </c>
      <c r="T15" s="518">
        <f t="shared" si="7"/>
        <v>0</v>
      </c>
      <c r="U15" s="518"/>
      <c r="V15" s="520" t="str">
        <f>O15</f>
        <v>Toutes les autres matières directes utilisées</v>
      </c>
      <c r="W15" s="410"/>
    </row>
    <row r="16" spans="1:23" x14ac:dyDescent="0.25">
      <c r="A16" s="432"/>
      <c r="B16" s="408" t="s">
        <v>857</v>
      </c>
      <c r="C16" s="523" t="str">
        <f>B16</f>
        <v>TOTAL</v>
      </c>
      <c r="D16" s="524">
        <f t="shared" si="4"/>
        <v>0</v>
      </c>
      <c r="E16" s="524">
        <f t="shared" si="4"/>
        <v>0</v>
      </c>
      <c r="F16" s="524">
        <f t="shared" si="4"/>
        <v>0</v>
      </c>
      <c r="G16" s="524">
        <f t="shared" si="4"/>
        <v>0</v>
      </c>
      <c r="H16" s="524">
        <f t="shared" si="4"/>
        <v>0</v>
      </c>
      <c r="I16" s="525"/>
      <c r="J16" s="526" t="str">
        <f>C16</f>
        <v>TOTAL</v>
      </c>
      <c r="K16" s="442"/>
      <c r="L16" s="443"/>
      <c r="M16" s="432"/>
      <c r="N16" s="408" t="str">
        <f>B16</f>
        <v>TOTAL</v>
      </c>
      <c r="O16" s="523" t="str">
        <f>C16</f>
        <v>TOTAL</v>
      </c>
      <c r="P16" s="524">
        <f t="shared" si="7"/>
        <v>0</v>
      </c>
      <c r="Q16" s="524">
        <f t="shared" si="7"/>
        <v>0</v>
      </c>
      <c r="R16" s="524">
        <f t="shared" si="7"/>
        <v>0</v>
      </c>
      <c r="S16" s="524">
        <f t="shared" si="7"/>
        <v>0</v>
      </c>
      <c r="T16" s="524">
        <f t="shared" si="7"/>
        <v>0</v>
      </c>
      <c r="U16" s="525"/>
      <c r="V16" s="526" t="str">
        <f>O16</f>
        <v>TOTAL</v>
      </c>
      <c r="W16" s="442"/>
    </row>
    <row r="17" spans="1:23" x14ac:dyDescent="0.25">
      <c r="A17" s="413"/>
      <c r="B17" s="409"/>
      <c r="C17" s="409"/>
      <c r="D17" s="409"/>
      <c r="E17" s="409"/>
      <c r="F17" s="409"/>
      <c r="G17" s="409"/>
      <c r="H17" s="409"/>
      <c r="I17" s="409"/>
      <c r="J17" s="446"/>
      <c r="K17" s="410"/>
      <c r="L17" s="405"/>
      <c r="M17" s="413"/>
      <c r="N17" s="409"/>
      <c r="O17" s="409"/>
      <c r="P17" s="409"/>
      <c r="Q17" s="409"/>
      <c r="R17" s="409"/>
      <c r="S17" s="409"/>
      <c r="T17" s="409"/>
      <c r="U17" s="409"/>
      <c r="V17" s="446"/>
      <c r="W17" s="410"/>
    </row>
    <row r="18" spans="1:23" x14ac:dyDescent="0.25">
      <c r="A18" s="413"/>
      <c r="B18" s="527" t="s">
        <v>825</v>
      </c>
      <c r="C18" s="492"/>
      <c r="D18" s="409"/>
      <c r="E18" s="409"/>
      <c r="F18" s="409"/>
      <c r="G18" s="409"/>
      <c r="H18" s="409"/>
      <c r="I18" s="409"/>
      <c r="J18" s="409"/>
      <c r="K18" s="410"/>
      <c r="L18" s="405"/>
      <c r="M18" s="413"/>
      <c r="N18" s="527" t="str">
        <f>B18</f>
        <v>Source: Reply to CITT questionnaire.  |  Réponse au questionnaire du TCCE.</v>
      </c>
      <c r="O18" s="492"/>
      <c r="P18" s="409"/>
      <c r="Q18" s="409"/>
      <c r="R18" s="409"/>
      <c r="S18" s="409"/>
      <c r="T18" s="409"/>
      <c r="U18" s="409"/>
      <c r="V18" s="409"/>
      <c r="W18" s="410"/>
    </row>
    <row r="19" spans="1:23" ht="15.75" thickBot="1" x14ac:dyDescent="0.3">
      <c r="A19" s="450"/>
      <c r="B19" s="451"/>
      <c r="C19" s="451"/>
      <c r="D19" s="451"/>
      <c r="E19" s="451"/>
      <c r="F19" s="451"/>
      <c r="G19" s="451"/>
      <c r="H19" s="451"/>
      <c r="I19" s="451"/>
      <c r="J19" s="451"/>
      <c r="K19" s="452"/>
      <c r="L19" s="405"/>
      <c r="M19" s="450"/>
      <c r="N19" s="451"/>
      <c r="O19" s="451"/>
      <c r="P19" s="451"/>
      <c r="Q19" s="451"/>
      <c r="R19" s="451"/>
      <c r="S19" s="451"/>
      <c r="T19" s="451"/>
      <c r="U19" s="451"/>
      <c r="V19" s="451"/>
      <c r="W19" s="452"/>
    </row>
    <row r="20" spans="1:23" x14ac:dyDescent="0.25">
      <c r="A20" s="405"/>
      <c r="B20" s="405"/>
      <c r="C20" s="405"/>
      <c r="D20" s="405"/>
      <c r="E20" s="405"/>
      <c r="F20" s="405"/>
      <c r="G20" s="405"/>
      <c r="H20" s="405"/>
      <c r="I20" s="405"/>
      <c r="J20" s="405"/>
      <c r="K20" s="405"/>
      <c r="L20" s="405"/>
      <c r="M20" s="405"/>
      <c r="N20" s="405"/>
      <c r="O20" s="405"/>
      <c r="P20" s="405"/>
      <c r="Q20" s="405"/>
      <c r="R20" s="405"/>
      <c r="S20" s="405"/>
      <c r="T20" s="405"/>
      <c r="U20" s="405"/>
      <c r="V20" s="405"/>
      <c r="W20" s="405"/>
    </row>
    <row r="21" spans="1:23" x14ac:dyDescent="0.25">
      <c r="A21" s="405"/>
      <c r="B21" s="405"/>
      <c r="C21" s="405"/>
      <c r="D21" s="405"/>
      <c r="E21" s="405"/>
      <c r="F21" s="405"/>
      <c r="G21" s="405"/>
      <c r="H21" s="405"/>
      <c r="I21" s="405"/>
      <c r="J21" s="405"/>
      <c r="K21" s="405"/>
      <c r="L21" s="405"/>
      <c r="M21" s="405"/>
      <c r="N21" s="405"/>
      <c r="O21" s="405"/>
      <c r="P21" s="405"/>
      <c r="Q21" s="405"/>
      <c r="R21" s="405"/>
      <c r="S21" s="405"/>
      <c r="T21" s="405"/>
      <c r="U21" s="405"/>
      <c r="V21" s="405"/>
      <c r="W21" s="405"/>
    </row>
    <row r="22" spans="1:23" x14ac:dyDescent="0.25">
      <c r="A22" s="405"/>
      <c r="B22" s="405"/>
      <c r="C22" s="405"/>
      <c r="D22" s="405"/>
      <c r="E22" s="405"/>
      <c r="F22" s="405"/>
      <c r="G22" s="405"/>
      <c r="H22" s="405"/>
      <c r="I22" s="405"/>
      <c r="J22" s="405"/>
      <c r="K22" s="405"/>
      <c r="L22" s="405"/>
      <c r="M22" s="405"/>
      <c r="N22" s="405"/>
      <c r="O22" s="405"/>
      <c r="P22" s="405"/>
      <c r="Q22" s="405"/>
      <c r="R22" s="405"/>
      <c r="S22" s="405"/>
      <c r="T22" s="405"/>
      <c r="U22" s="405"/>
      <c r="V22" s="405"/>
      <c r="W22" s="405"/>
    </row>
    <row r="23" spans="1:23" x14ac:dyDescent="0.25">
      <c r="A23" s="405"/>
      <c r="B23" s="528">
        <f>Public!D165</f>
        <v>0</v>
      </c>
      <c r="C23" s="405">
        <f>B23</f>
        <v>0</v>
      </c>
      <c r="D23" s="529">
        <f>'Pro 3'!H46/1000</f>
        <v>0</v>
      </c>
      <c r="E23" s="530">
        <f>'Pro 3'!I46/1000</f>
        <v>0</v>
      </c>
      <c r="F23" s="530">
        <f>'Pro 3'!J46/1000</f>
        <v>0</v>
      </c>
      <c r="G23" s="530">
        <f>'Pro 3'!K46/1000</f>
        <v>0</v>
      </c>
      <c r="H23" s="531">
        <f>'Pro 3'!L46/1000</f>
        <v>0</v>
      </c>
      <c r="I23" s="532"/>
      <c r="J23" s="532"/>
      <c r="K23" s="405"/>
      <c r="L23" s="405"/>
      <c r="M23" s="405"/>
      <c r="N23" s="528">
        <f>B23</f>
        <v>0</v>
      </c>
      <c r="O23" s="405">
        <f>N23</f>
        <v>0</v>
      </c>
      <c r="P23" s="529">
        <f>'Pro 3'!H58/1000</f>
        <v>0</v>
      </c>
      <c r="Q23" s="530">
        <f>'Pro 3'!I58/1000</f>
        <v>0</v>
      </c>
      <c r="R23" s="530">
        <f>'Pro 3'!J58/1000</f>
        <v>0</v>
      </c>
      <c r="S23" s="530">
        <f>'Pro 3'!K58/1000</f>
        <v>0</v>
      </c>
      <c r="T23" s="531">
        <f>'Pro 3'!L58/1000</f>
        <v>0</v>
      </c>
      <c r="U23" s="532"/>
      <c r="V23" s="532"/>
      <c r="W23" s="405"/>
    </row>
    <row r="24" spans="1:23" x14ac:dyDescent="0.25">
      <c r="A24" s="405"/>
      <c r="B24" s="528">
        <f>Public!D166</f>
        <v>0</v>
      </c>
      <c r="C24" s="405">
        <f>B24</f>
        <v>0</v>
      </c>
      <c r="D24" s="533">
        <f>'Pro 3'!H47/1000</f>
        <v>0</v>
      </c>
      <c r="E24" s="534">
        <f>'Pro 3'!I47/1000</f>
        <v>0</v>
      </c>
      <c r="F24" s="534">
        <f>'Pro 3'!J47/1000</f>
        <v>0</v>
      </c>
      <c r="G24" s="534">
        <f>'Pro 3'!K47/1000</f>
        <v>0</v>
      </c>
      <c r="H24" s="535">
        <f>'Pro 3'!L47/1000</f>
        <v>0</v>
      </c>
      <c r="I24" s="532"/>
      <c r="J24" s="532"/>
      <c r="K24" s="405"/>
      <c r="L24" s="405"/>
      <c r="M24" s="405"/>
      <c r="N24" s="528">
        <f>B24</f>
        <v>0</v>
      </c>
      <c r="O24" s="405">
        <f>N24</f>
        <v>0</v>
      </c>
      <c r="P24" s="533">
        <f>'Pro 3'!H59/1000</f>
        <v>0</v>
      </c>
      <c r="Q24" s="534">
        <f>'Pro 3'!I59/1000</f>
        <v>0</v>
      </c>
      <c r="R24" s="534">
        <f>'Pro 3'!J59/1000</f>
        <v>0</v>
      </c>
      <c r="S24" s="534">
        <f>'Pro 3'!K59/1000</f>
        <v>0</v>
      </c>
      <c r="T24" s="535">
        <f>'Pro 3'!L59/1000</f>
        <v>0</v>
      </c>
      <c r="U24" s="532"/>
      <c r="V24" s="532"/>
      <c r="W24" s="405"/>
    </row>
    <row r="25" spans="1:23" x14ac:dyDescent="0.25">
      <c r="A25" s="405"/>
      <c r="B25" s="528">
        <f>Public!D167</f>
        <v>0</v>
      </c>
      <c r="C25" s="405">
        <f>B25</f>
        <v>0</v>
      </c>
      <c r="D25" s="533">
        <f>'Pro 3'!H48/1000</f>
        <v>0</v>
      </c>
      <c r="E25" s="534">
        <f>'Pro 3'!I48/1000</f>
        <v>0</v>
      </c>
      <c r="F25" s="534">
        <f>'Pro 3'!J48/1000</f>
        <v>0</v>
      </c>
      <c r="G25" s="534">
        <f>'Pro 3'!K48/1000</f>
        <v>0</v>
      </c>
      <c r="H25" s="535">
        <f>'Pro 3'!L48/1000</f>
        <v>0</v>
      </c>
      <c r="I25" s="532"/>
      <c r="J25" s="532"/>
      <c r="K25" s="405"/>
      <c r="L25" s="405"/>
      <c r="M25" s="405"/>
      <c r="N25" s="528">
        <f>B25</f>
        <v>0</v>
      </c>
      <c r="O25" s="405">
        <f>N25</f>
        <v>0</v>
      </c>
      <c r="P25" s="533">
        <f>'Pro 3'!H60/1000</f>
        <v>0</v>
      </c>
      <c r="Q25" s="534">
        <f>'Pro 3'!I60/1000</f>
        <v>0</v>
      </c>
      <c r="R25" s="534">
        <f>'Pro 3'!J60/1000</f>
        <v>0</v>
      </c>
      <c r="S25" s="534">
        <f>'Pro 3'!K60/1000</f>
        <v>0</v>
      </c>
      <c r="T25" s="535">
        <f>'Pro 3'!L60/1000</f>
        <v>0</v>
      </c>
      <c r="U25" s="532"/>
      <c r="V25" s="532"/>
      <c r="W25" s="405"/>
    </row>
    <row r="26" spans="1:23" ht="64.5" x14ac:dyDescent="0.25">
      <c r="A26" s="405"/>
      <c r="B26" s="536" t="s">
        <v>858</v>
      </c>
      <c r="C26" s="536" t="s">
        <v>62</v>
      </c>
      <c r="D26" s="537">
        <f>'Pro 3'!H49/1000</f>
        <v>0</v>
      </c>
      <c r="E26" s="538">
        <f>'Pro 3'!I49/1000</f>
        <v>0</v>
      </c>
      <c r="F26" s="538">
        <f>'Pro 3'!J49/1000</f>
        <v>0</v>
      </c>
      <c r="G26" s="538">
        <f>'Pro 3'!K49/1000</f>
        <v>0</v>
      </c>
      <c r="H26" s="539">
        <f>'Pro 3'!L49/1000</f>
        <v>0</v>
      </c>
      <c r="I26" s="532"/>
      <c r="J26" s="532"/>
      <c r="K26" s="405"/>
      <c r="L26" s="405"/>
      <c r="M26" s="405"/>
      <c r="N26" s="536" t="s">
        <v>858</v>
      </c>
      <c r="O26" s="405" t="s">
        <v>62</v>
      </c>
      <c r="P26" s="537">
        <f>'Pro 3'!H61/1000</f>
        <v>0</v>
      </c>
      <c r="Q26" s="538">
        <f>'Pro 3'!I61/1000</f>
        <v>0</v>
      </c>
      <c r="R26" s="538">
        <f>'Pro 3'!J61/1000</f>
        <v>0</v>
      </c>
      <c r="S26" s="538">
        <f>'Pro 3'!K61/1000</f>
        <v>0</v>
      </c>
      <c r="T26" s="539">
        <f>'Pro 3'!L61/1000</f>
        <v>0</v>
      </c>
      <c r="U26" s="532"/>
      <c r="V26" s="532"/>
      <c r="W26" s="405"/>
    </row>
    <row r="27" spans="1:23" x14ac:dyDescent="0.25">
      <c r="A27" s="405"/>
      <c r="B27" s="405" t="s">
        <v>857</v>
      </c>
      <c r="C27" s="405"/>
      <c r="D27" s="540">
        <f>SUM(D23:D26)</f>
        <v>0</v>
      </c>
      <c r="E27" s="540">
        <f t="shared" ref="E27:H27" si="10">SUM(E23:E26)</f>
        <v>0</v>
      </c>
      <c r="F27" s="540">
        <f t="shared" si="10"/>
        <v>0</v>
      </c>
      <c r="G27" s="540">
        <f t="shared" si="10"/>
        <v>0</v>
      </c>
      <c r="H27" s="540">
        <f t="shared" si="10"/>
        <v>0</v>
      </c>
      <c r="I27" s="540"/>
      <c r="J27" s="540"/>
      <c r="K27" s="405"/>
      <c r="L27" s="405"/>
      <c r="M27" s="405"/>
      <c r="N27" s="405" t="s">
        <v>857</v>
      </c>
      <c r="O27" s="405"/>
      <c r="P27" s="540">
        <f>SUM(P23:P26)</f>
        <v>0</v>
      </c>
      <c r="Q27" s="540">
        <f t="shared" ref="Q27:T27" si="11">SUM(Q23:Q26)</f>
        <v>0</v>
      </c>
      <c r="R27" s="540">
        <f t="shared" si="11"/>
        <v>0</v>
      </c>
      <c r="S27" s="540">
        <f t="shared" si="11"/>
        <v>0</v>
      </c>
      <c r="T27" s="540">
        <f t="shared" si="11"/>
        <v>0</v>
      </c>
      <c r="U27" s="540"/>
      <c r="V27" s="540"/>
      <c r="W27" s="405"/>
    </row>
  </sheetData>
  <sheetProtection algorithmName="SHA-512" hashValue="GbWhEsc2/Q+4cpCuxwy/dIk1ZBQ5q3ayMqPOlANoZ8kJL2Mc/VyE9bnfEWPvdBC0l7VR4obg17jZG3/eDuzS6g==" saltValue="+YnM1V8N7vbTbFT4aAm6FA==" spinCount="100000" sheet="1" objects="1" scenarios="1" selectLockedCells="1"/>
  <mergeCells count="4">
    <mergeCell ref="D8:H8"/>
    <mergeCell ref="P8:T8"/>
    <mergeCell ref="G9:H9"/>
    <mergeCell ref="S9:T9"/>
  </mergeCells>
  <dataValidations count="4">
    <dataValidation type="list" allowBlank="1" showInputMessage="1" showErrorMessage="1" sqref="D5:D8" xr:uid="{B2906429-3C12-4DF0-BA01-A8875AD6627F}">
      <formula1>$D$1:$D$8</formula1>
    </dataValidation>
    <dataValidation type="list" allowBlank="1" showInputMessage="1" showErrorMessage="1" sqref="B5" xr:uid="{1FA62B55-5577-4B43-8394-81A3BA7CBB16}">
      <formula1>$B$1:$B$3</formula1>
    </dataValidation>
    <dataValidation type="list" allowBlank="1" showInputMessage="1" showErrorMessage="1" sqref="C5:C8" xr:uid="{AA3BDC64-F53F-4CFF-A69C-B4D2E28DF8FB}">
      <formula1>$C$1:$C$6</formula1>
    </dataValidation>
    <dataValidation type="list" allowBlank="1" showInputMessage="1" showErrorMessage="1" sqref="H5:H8" xr:uid="{7A92EE5B-F81C-4649-8B24-6B753A67555A}">
      <formula1>$H$1:$H$3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37F3-2EC2-465A-8410-1857CFB2A3CA}">
  <sheetPr>
    <tabColor rgb="FFFF0000"/>
  </sheetPr>
  <dimension ref="A4:M17"/>
  <sheetViews>
    <sheetView workbookViewId="0">
      <selection activeCell="A5" sqref="A5"/>
    </sheetView>
  </sheetViews>
  <sheetFormatPr defaultRowHeight="15" x14ac:dyDescent="0.25"/>
  <cols>
    <col min="1" max="1" width="3.5703125" customWidth="1"/>
    <col min="2" max="2" width="2.7109375" customWidth="1"/>
    <col min="3" max="3" width="39.7109375" customWidth="1"/>
    <col min="4" max="9" width="14.28515625" customWidth="1"/>
    <col min="10" max="10" width="2.7109375" customWidth="1"/>
    <col min="11" max="13" width="8.7109375" customWidth="1"/>
  </cols>
  <sheetData>
    <row r="4" spans="1:13" ht="15.75" thickBot="1" x14ac:dyDescent="0.3">
      <c r="A4" s="406"/>
      <c r="B4" s="406"/>
      <c r="C4" s="406"/>
      <c r="D4" s="541"/>
      <c r="E4" s="541"/>
      <c r="F4" s="541"/>
      <c r="G4" s="542"/>
      <c r="H4" s="541"/>
      <c r="I4" s="497"/>
      <c r="J4" s="497"/>
      <c r="K4" s="497"/>
      <c r="L4" s="497"/>
      <c r="M4" s="497"/>
    </row>
    <row r="5" spans="1:13" x14ac:dyDescent="0.25">
      <c r="A5" s="411"/>
      <c r="B5" s="401"/>
      <c r="C5" s="403"/>
      <c r="D5" s="543"/>
      <c r="E5" s="543"/>
      <c r="F5" s="543"/>
      <c r="G5" s="543"/>
      <c r="H5" s="543"/>
      <c r="I5" s="543"/>
      <c r="J5" s="404"/>
      <c r="K5" s="501"/>
      <c r="L5" s="501"/>
      <c r="M5" s="501"/>
    </row>
    <row r="6" spans="1:13" ht="77.25" x14ac:dyDescent="0.25">
      <c r="A6" s="54"/>
      <c r="B6" s="432"/>
      <c r="C6" s="415"/>
      <c r="D6" s="544" t="s">
        <v>859</v>
      </c>
      <c r="E6" s="544" t="s">
        <v>860</v>
      </c>
      <c r="F6" s="544" t="s">
        <v>861</v>
      </c>
      <c r="G6" s="544" t="s">
        <v>862</v>
      </c>
      <c r="H6" s="544" t="s">
        <v>863</v>
      </c>
      <c r="I6" s="544" t="s">
        <v>864</v>
      </c>
      <c r="J6" s="410"/>
      <c r="K6" s="400"/>
      <c r="L6" s="400"/>
      <c r="M6" s="400"/>
    </row>
    <row r="7" spans="1:13" x14ac:dyDescent="0.25">
      <c r="A7" s="54"/>
      <c r="B7" s="511"/>
      <c r="C7" s="545"/>
      <c r="D7" s="546"/>
      <c r="E7" s="546"/>
      <c r="F7" s="546"/>
      <c r="G7" s="546"/>
      <c r="H7" s="546"/>
      <c r="I7" s="546"/>
      <c r="J7" s="515"/>
      <c r="K7" s="400"/>
      <c r="L7" s="400"/>
      <c r="M7" s="400"/>
    </row>
    <row r="8" spans="1:13" x14ac:dyDescent="0.25">
      <c r="A8" s="54"/>
      <c r="B8" s="413"/>
      <c r="C8" s="547">
        <f>Intro!E77</f>
        <v>0</v>
      </c>
      <c r="D8" s="548" t="str">
        <f>IF(OR('Pro 4'!B23="YES",'Pro 4'!B23="Oui"),"X","")</f>
        <v/>
      </c>
      <c r="E8" s="548" t="str">
        <f>IF(OR('Pro 4'!B33="YES",'Pro 4'!B33="Oui"),"X","")</f>
        <v/>
      </c>
      <c r="F8" s="548" t="str">
        <f>IF(OR('Pro 4'!B43="YES",'Pro 4'!B43="Oui"),"X","")</f>
        <v/>
      </c>
      <c r="G8" s="548" t="str">
        <f>IF(OR('Pro 4'!B53="YES",'Pro 4'!B53="Oui"),"X","")</f>
        <v/>
      </c>
      <c r="H8" s="548" t="str">
        <f>IF(OR('Pro 4'!B63="YES",'Pro 4'!B63="Oui"),"X","")</f>
        <v/>
      </c>
      <c r="I8" s="548" t="str">
        <f>IF(OR('Pro 4'!B73="YES",'Pro 4'!B73="Oui"),"X","")</f>
        <v/>
      </c>
      <c r="J8" s="410"/>
      <c r="K8" s="400"/>
      <c r="L8" s="400"/>
      <c r="M8" s="400"/>
    </row>
    <row r="9" spans="1:13" x14ac:dyDescent="0.25">
      <c r="B9" s="413"/>
      <c r="C9" s="409"/>
      <c r="D9" s="409"/>
      <c r="E9" s="409"/>
      <c r="F9" s="409"/>
      <c r="G9" s="409"/>
      <c r="H9" s="409"/>
      <c r="I9" s="409"/>
      <c r="J9" s="410"/>
    </row>
    <row r="10" spans="1:13" ht="64.5" x14ac:dyDescent="0.25">
      <c r="B10" s="413"/>
      <c r="C10" s="415"/>
      <c r="D10" s="544" t="s">
        <v>863</v>
      </c>
      <c r="E10" s="544" t="s">
        <v>865</v>
      </c>
      <c r="F10" s="544" t="s">
        <v>866</v>
      </c>
      <c r="G10" s="544" t="s">
        <v>867</v>
      </c>
      <c r="H10" s="544" t="s">
        <v>868</v>
      </c>
      <c r="I10" s="405"/>
      <c r="J10" s="410"/>
    </row>
    <row r="11" spans="1:13" x14ac:dyDescent="0.25">
      <c r="B11" s="413"/>
      <c r="C11" s="545"/>
      <c r="D11" s="546"/>
      <c r="E11" s="546"/>
      <c r="F11" s="546"/>
      <c r="G11" s="546"/>
      <c r="H11" s="546"/>
      <c r="I11" s="546"/>
      <c r="J11" s="410"/>
    </row>
    <row r="12" spans="1:13" x14ac:dyDescent="0.25">
      <c r="B12" s="413"/>
      <c r="C12" s="437">
        <f>C8</f>
        <v>0</v>
      </c>
      <c r="D12" s="548" t="str">
        <f>IF(OR('Pro 4'!B83="YES",'Pro 4'!B83="Oui"),"X","")</f>
        <v/>
      </c>
      <c r="E12" s="548" t="str">
        <f>IF(OR('Pro 4'!B93="YES",'Pro 4'!B93="Oui"),"X","")</f>
        <v/>
      </c>
      <c r="F12" s="548" t="str">
        <f>IF(OR('Pro 4'!B103="YES",'Pro 4'!B103="Oui"),"X","")</f>
        <v/>
      </c>
      <c r="G12" s="548" t="str">
        <f>IF(OR('Pro 4'!B113="YES",'Pro 4'!B113="Oui"),"X","")</f>
        <v/>
      </c>
      <c r="H12" s="548" t="str">
        <f>IF(OR('Pro 4'!B123="YES",'Pro 4'!B123="Oui"),"X","")</f>
        <v/>
      </c>
      <c r="I12" s="549"/>
      <c r="J12" s="410"/>
    </row>
    <row r="13" spans="1:13" x14ac:dyDescent="0.25">
      <c r="B13" s="413"/>
      <c r="C13" s="550"/>
      <c r="D13" s="409"/>
      <c r="E13" s="409"/>
      <c r="F13" s="409"/>
      <c r="G13" s="409"/>
      <c r="H13" s="409"/>
      <c r="I13" s="409"/>
      <c r="J13" s="410"/>
    </row>
    <row r="14" spans="1:13" x14ac:dyDescent="0.25">
      <c r="B14" s="413"/>
      <c r="C14" s="409" t="s">
        <v>823</v>
      </c>
      <c r="D14" s="409"/>
      <c r="E14" s="409"/>
      <c r="F14" s="409"/>
      <c r="G14" s="409"/>
      <c r="H14" s="409"/>
      <c r="I14" s="409"/>
      <c r="J14" s="410"/>
    </row>
    <row r="15" spans="1:13" x14ac:dyDescent="0.25">
      <c r="B15" s="413"/>
      <c r="C15" s="962" t="str">
        <f>"1. Responses include | Les réponses comprennent : "&amp;N17</f>
        <v xml:space="preserve">1. Responses include | Les réponses comprennent : </v>
      </c>
      <c r="D15" s="962"/>
      <c r="E15" s="962"/>
      <c r="F15" s="962"/>
      <c r="G15" s="962"/>
      <c r="H15" s="962"/>
      <c r="I15" s="962"/>
      <c r="J15" s="410"/>
    </row>
    <row r="16" spans="1:13" x14ac:dyDescent="0.25">
      <c r="B16" s="432"/>
      <c r="C16" s="963" t="s">
        <v>869</v>
      </c>
      <c r="D16" s="963"/>
      <c r="E16" s="963"/>
      <c r="F16" s="963"/>
      <c r="G16" s="963"/>
      <c r="H16" s="963"/>
      <c r="I16" s="963"/>
      <c r="J16" s="410"/>
    </row>
    <row r="17" spans="2:10" ht="15.75" thickBot="1" x14ac:dyDescent="0.3">
      <c r="B17" s="450"/>
      <c r="C17" s="451"/>
      <c r="D17" s="451"/>
      <c r="E17" s="451"/>
      <c r="F17" s="451"/>
      <c r="G17" s="451"/>
      <c r="H17" s="451"/>
      <c r="I17" s="451"/>
      <c r="J17" s="452"/>
    </row>
  </sheetData>
  <sheetProtection algorithmName="SHA-512" hashValue="OT0LmwWEDJ1OHEBTeD7/9Uzttymvm9uMMmHo4AOfzu+xM19BCt5klo6nKyJ6vZLcIf/IsB5EndEUH568E1nW7A==" saltValue="cV7tSCwdih8l7ePMS45/rQ==" spinCount="100000" sheet="1" objects="1" scenarios="1" selectLockedCells="1"/>
  <mergeCells count="2">
    <mergeCell ref="C15:I15"/>
    <mergeCell ref="C16:I16"/>
  </mergeCells>
  <dataValidations count="4">
    <dataValidation type="list" allowBlank="1" showInputMessage="1" showErrorMessage="1" sqref="D5:D7" xr:uid="{BBEE5B61-6B6B-4409-BBC6-92851AD436F6}">
      <formula1>$D$1:$D$8</formula1>
    </dataValidation>
    <dataValidation type="list" allowBlank="1" showInputMessage="1" showErrorMessage="1" sqref="B5" xr:uid="{24092AA2-1145-41B8-A777-854966F5AA97}">
      <formula1>$B$1:$B$3</formula1>
    </dataValidation>
    <dataValidation type="list" allowBlank="1" showInputMessage="1" showErrorMessage="1" sqref="C5:C7" xr:uid="{F4061CD9-FF2E-4C4A-B9B4-9FB72CF4E6ED}">
      <formula1>$C$1:$C$6</formula1>
    </dataValidation>
    <dataValidation type="list" allowBlank="1" showInputMessage="1" showErrorMessage="1" sqref="H5:H7" xr:uid="{ECA4DB43-490B-4280-8499-109FF4C53570}">
      <formula1>$H$1:$H$3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1983-1ECA-458F-A1B3-D75D940531C6}">
  <sheetPr>
    <tabColor rgb="FFFF0000"/>
  </sheetPr>
  <dimension ref="A3:AN11"/>
  <sheetViews>
    <sheetView workbookViewId="0">
      <selection activeCell="Y8" sqref="Y8"/>
    </sheetView>
  </sheetViews>
  <sheetFormatPr defaultRowHeight="15" x14ac:dyDescent="0.25"/>
  <cols>
    <col min="1" max="1" width="42.42578125" bestFit="1" customWidth="1"/>
    <col min="2" max="2" width="16.28515625" customWidth="1"/>
    <col min="3" max="3" width="10.5703125" bestFit="1" customWidth="1"/>
    <col min="4" max="4" width="13.28515625" bestFit="1" customWidth="1"/>
    <col min="5" max="7" width="8.28515625" customWidth="1"/>
    <col min="8" max="8" width="11.42578125" bestFit="1" customWidth="1"/>
    <col min="9" max="9" width="12.5703125" customWidth="1"/>
    <col min="10" max="10" width="17.28515625" bestFit="1" customWidth="1"/>
    <col min="11" max="11" width="15.5703125" bestFit="1" customWidth="1"/>
    <col min="12" max="12" width="7.5703125" customWidth="1"/>
    <col min="13" max="13" width="23.42578125" bestFit="1" customWidth="1"/>
    <col min="14" max="14" width="28.7109375" customWidth="1"/>
    <col min="15" max="15" width="20.5703125" customWidth="1"/>
    <col min="16" max="16" width="12.42578125" bestFit="1" customWidth="1"/>
    <col min="17" max="32" width="10.28515625" customWidth="1"/>
    <col min="33" max="40" width="10.42578125" customWidth="1"/>
  </cols>
  <sheetData>
    <row r="3" spans="1:40" ht="26.25" x14ac:dyDescent="0.25">
      <c r="A3" s="551" t="s">
        <v>508</v>
      </c>
      <c r="B3" s="551" t="s">
        <v>870</v>
      </c>
      <c r="C3" s="551" t="s">
        <v>509</v>
      </c>
      <c r="D3" s="551" t="s">
        <v>510</v>
      </c>
      <c r="E3" s="552" t="s">
        <v>871</v>
      </c>
      <c r="F3" s="552" t="s">
        <v>779</v>
      </c>
      <c r="G3" s="552" t="s">
        <v>780</v>
      </c>
      <c r="H3" s="551" t="s">
        <v>512</v>
      </c>
      <c r="I3" s="551" t="s">
        <v>513</v>
      </c>
      <c r="J3" s="365" t="s">
        <v>781</v>
      </c>
      <c r="K3" s="551" t="s">
        <v>514</v>
      </c>
      <c r="L3" s="551" t="s">
        <v>782</v>
      </c>
      <c r="M3" s="551" t="s">
        <v>571</v>
      </c>
      <c r="N3" s="551" t="s">
        <v>872</v>
      </c>
      <c r="O3" s="551" t="s">
        <v>873</v>
      </c>
      <c r="P3" s="551" t="s">
        <v>516</v>
      </c>
      <c r="Q3" s="553" t="s">
        <v>581</v>
      </c>
      <c r="R3" s="553" t="s">
        <v>582</v>
      </c>
      <c r="S3" s="553" t="s">
        <v>583</v>
      </c>
      <c r="T3" s="553" t="s">
        <v>584</v>
      </c>
      <c r="U3" s="553" t="s">
        <v>585</v>
      </c>
      <c r="V3" s="553" t="s">
        <v>586</v>
      </c>
      <c r="W3" s="553" t="s">
        <v>874</v>
      </c>
      <c r="X3" s="554" t="s">
        <v>875</v>
      </c>
      <c r="Y3" s="555" t="str">
        <f t="shared" ref="Y3:AN3" si="0">Q3</f>
        <v>Q3  |  T3 2023</v>
      </c>
      <c r="Z3" s="555" t="str">
        <f t="shared" si="0"/>
        <v>Q4  |  T4 2023</v>
      </c>
      <c r="AA3" s="555" t="str">
        <f t="shared" si="0"/>
        <v>Q1  |  T1 2024</v>
      </c>
      <c r="AB3" s="555" t="str">
        <f t="shared" si="0"/>
        <v>Q2  |  T2 2024</v>
      </c>
      <c r="AC3" s="555" t="str">
        <f t="shared" si="0"/>
        <v>Q3  |  T3 2024</v>
      </c>
      <c r="AD3" s="555" t="str">
        <f t="shared" si="0"/>
        <v>Q4  |  T4 2024</v>
      </c>
      <c r="AE3" s="555" t="str">
        <f t="shared" si="0"/>
        <v>Q1  |  T1 2025</v>
      </c>
      <c r="AF3" s="555" t="str">
        <f t="shared" si="0"/>
        <v>Q2  |  T2 2025</v>
      </c>
      <c r="AG3" s="555" t="str">
        <f t="shared" si="0"/>
        <v>Q3  |  T3 2023</v>
      </c>
      <c r="AH3" s="555" t="str">
        <f t="shared" si="0"/>
        <v>Q4  |  T4 2023</v>
      </c>
      <c r="AI3" s="555" t="str">
        <f t="shared" si="0"/>
        <v>Q1  |  T1 2024</v>
      </c>
      <c r="AJ3" s="555" t="str">
        <f t="shared" si="0"/>
        <v>Q2  |  T2 2024</v>
      </c>
      <c r="AK3" s="555" t="str">
        <f t="shared" si="0"/>
        <v>Q3  |  T3 2024</v>
      </c>
      <c r="AL3" s="555" t="str">
        <f t="shared" si="0"/>
        <v>Q4  |  T4 2024</v>
      </c>
      <c r="AM3" s="555" t="str">
        <f t="shared" si="0"/>
        <v>Q1  |  T1 2025</v>
      </c>
      <c r="AN3" s="555" t="str">
        <f t="shared" si="0"/>
        <v>Q2  |  T2 2025</v>
      </c>
    </row>
    <row r="4" spans="1:40" x14ac:dyDescent="0.25">
      <c r="A4" s="556">
        <f>Intro!E77</f>
        <v>0</v>
      </c>
      <c r="B4" s="557">
        <f>A4</f>
        <v>0</v>
      </c>
      <c r="C4" s="557" t="s">
        <v>524</v>
      </c>
      <c r="D4" s="557" t="s">
        <v>526</v>
      </c>
      <c r="E4" s="558"/>
      <c r="F4" s="558"/>
      <c r="G4" s="557"/>
      <c r="H4" s="557" t="s">
        <v>549</v>
      </c>
      <c r="I4" s="557" t="s">
        <v>526</v>
      </c>
      <c r="J4" s="557" t="s">
        <v>526</v>
      </c>
      <c r="K4" s="557" t="s">
        <v>526</v>
      </c>
      <c r="L4" s="557" t="s">
        <v>525</v>
      </c>
      <c r="M4" s="557" t="s">
        <v>526</v>
      </c>
      <c r="N4" s="557" t="s">
        <v>955</v>
      </c>
      <c r="O4" s="557" t="s">
        <v>876</v>
      </c>
      <c r="P4" s="559" t="s">
        <v>528</v>
      </c>
      <c r="Q4" s="560">
        <f>'Pro 2'!E270</f>
        <v>0</v>
      </c>
      <c r="R4" s="560">
        <f>'Pro 2'!F270</f>
        <v>0</v>
      </c>
      <c r="S4" s="560">
        <f>'Pro 2'!G270</f>
        <v>0</v>
      </c>
      <c r="T4" s="560">
        <f>'Pro 2'!H270</f>
        <v>0</v>
      </c>
      <c r="U4" s="560">
        <f>'Pro 2'!I270</f>
        <v>0</v>
      </c>
      <c r="V4" s="560">
        <f>'Pro 2'!J270</f>
        <v>0</v>
      </c>
      <c r="W4" s="560">
        <f>'Pro 2'!K270</f>
        <v>0</v>
      </c>
      <c r="X4" s="561">
        <f>'Pro 2'!L270</f>
        <v>0</v>
      </c>
      <c r="Y4" s="562">
        <f>'Pro 2'!E271/1000</f>
        <v>0</v>
      </c>
      <c r="Z4" s="560">
        <f>'Pro 2'!F271/1000</f>
        <v>0</v>
      </c>
      <c r="AA4" s="560">
        <f>'Pro 2'!G271/1000</f>
        <v>0</v>
      </c>
      <c r="AB4" s="560">
        <f>'Pro 2'!H271/1000</f>
        <v>0</v>
      </c>
      <c r="AC4" s="560">
        <f>'Pro 2'!I271/1000</f>
        <v>0</v>
      </c>
      <c r="AD4" s="560">
        <f>'Pro 2'!J271/1000</f>
        <v>0</v>
      </c>
      <c r="AE4" s="560">
        <f>'Pro 2'!K271/1000</f>
        <v>0</v>
      </c>
      <c r="AF4" s="561">
        <f>'Pro 2'!L271/1000</f>
        <v>0</v>
      </c>
      <c r="AG4" s="563">
        <f>IF(ISERROR(Y4/Q4),0,Y4/Q4)*1000</f>
        <v>0</v>
      </c>
      <c r="AH4" s="564">
        <f t="shared" ref="AG4:AN6" si="1">IF(ISERROR(Z4/R4),0,Z4/R4)*1000</f>
        <v>0</v>
      </c>
      <c r="AI4" s="564">
        <f t="shared" si="1"/>
        <v>0</v>
      </c>
      <c r="AJ4" s="564">
        <f t="shared" si="1"/>
        <v>0</v>
      </c>
      <c r="AK4" s="564">
        <f t="shared" si="1"/>
        <v>0</v>
      </c>
      <c r="AL4" s="564">
        <f t="shared" si="1"/>
        <v>0</v>
      </c>
      <c r="AM4" s="564">
        <f t="shared" si="1"/>
        <v>0</v>
      </c>
      <c r="AN4" s="565">
        <f t="shared" si="1"/>
        <v>0</v>
      </c>
    </row>
    <row r="5" spans="1:40" x14ac:dyDescent="0.25">
      <c r="A5" s="566">
        <f t="shared" ref="A5:A11" si="2">A4</f>
        <v>0</v>
      </c>
      <c r="B5" s="566">
        <f>A5</f>
        <v>0</v>
      </c>
      <c r="C5" s="566" t="str">
        <f>C4</f>
        <v>1 - Producer</v>
      </c>
      <c r="D5" s="566" t="str">
        <f t="shared" ref="D5:D11" si="3">D4</f>
        <v>DOM</v>
      </c>
      <c r="E5" s="567"/>
      <c r="F5" s="567"/>
      <c r="G5" s="568"/>
      <c r="H5" s="566" t="str">
        <f>H4</f>
        <v>A - DOM</v>
      </c>
      <c r="I5" s="566" t="s">
        <v>526</v>
      </c>
      <c r="J5" s="566" t="s">
        <v>526</v>
      </c>
      <c r="K5" s="566" t="s">
        <v>526</v>
      </c>
      <c r="L5" s="566" t="s">
        <v>525</v>
      </c>
      <c r="M5" s="566" t="s">
        <v>526</v>
      </c>
      <c r="N5" s="566" t="s">
        <v>956</v>
      </c>
      <c r="O5" s="566" t="s">
        <v>877</v>
      </c>
      <c r="P5" s="569" t="s">
        <v>528</v>
      </c>
      <c r="Q5" s="570">
        <f>'Pro 2'!E275</f>
        <v>0</v>
      </c>
      <c r="R5" s="570">
        <f>'Pro 2'!F275</f>
        <v>0</v>
      </c>
      <c r="S5" s="570">
        <f>'Pro 2'!G275</f>
        <v>0</v>
      </c>
      <c r="T5" s="570">
        <f>'Pro 2'!H275</f>
        <v>0</v>
      </c>
      <c r="U5" s="570">
        <f>'Pro 2'!I275</f>
        <v>0</v>
      </c>
      <c r="V5" s="570">
        <f>'Pro 2'!J275</f>
        <v>0</v>
      </c>
      <c r="W5" s="570">
        <f>'Pro 2'!K275</f>
        <v>0</v>
      </c>
      <c r="X5" s="571">
        <f>'Pro 2'!L275</f>
        <v>0</v>
      </c>
      <c r="Y5" s="572">
        <f>'Pro 2'!E276/1000</f>
        <v>0</v>
      </c>
      <c r="Z5" s="570">
        <f>'Pro 2'!F276/1000</f>
        <v>0</v>
      </c>
      <c r="AA5" s="570">
        <f>'Pro 2'!G276/1000</f>
        <v>0</v>
      </c>
      <c r="AB5" s="570">
        <f>'Pro 2'!H276/1000</f>
        <v>0</v>
      </c>
      <c r="AC5" s="570">
        <f>'Pro 2'!I276/1000</f>
        <v>0</v>
      </c>
      <c r="AD5" s="570">
        <f>'Pro 2'!J276/1000</f>
        <v>0</v>
      </c>
      <c r="AE5" s="570">
        <f>'Pro 2'!K276/1000</f>
        <v>0</v>
      </c>
      <c r="AF5" s="571">
        <f>'Pro 2'!L276/1000</f>
        <v>0</v>
      </c>
      <c r="AG5" s="573">
        <f t="shared" si="1"/>
        <v>0</v>
      </c>
      <c r="AH5" s="574">
        <f t="shared" si="1"/>
        <v>0</v>
      </c>
      <c r="AI5" s="574">
        <f t="shared" si="1"/>
        <v>0</v>
      </c>
      <c r="AJ5" s="574">
        <f t="shared" si="1"/>
        <v>0</v>
      </c>
      <c r="AK5" s="574">
        <f t="shared" si="1"/>
        <v>0</v>
      </c>
      <c r="AL5" s="574">
        <f t="shared" si="1"/>
        <v>0</v>
      </c>
      <c r="AM5" s="574">
        <f t="shared" si="1"/>
        <v>0</v>
      </c>
      <c r="AN5" s="575">
        <f t="shared" si="1"/>
        <v>0</v>
      </c>
    </row>
    <row r="6" spans="1:40" x14ac:dyDescent="0.25">
      <c r="A6" s="576">
        <f t="shared" si="2"/>
        <v>0</v>
      </c>
      <c r="B6" s="576">
        <f>A6</f>
        <v>0</v>
      </c>
      <c r="C6" s="576" t="str">
        <f t="shared" ref="C6:C11" si="4">C5</f>
        <v>1 - Producer</v>
      </c>
      <c r="D6" s="576" t="str">
        <f t="shared" si="3"/>
        <v>DOM</v>
      </c>
      <c r="E6" s="577"/>
      <c r="F6" s="577"/>
      <c r="G6" s="576"/>
      <c r="H6" s="576" t="str">
        <f t="shared" ref="H6:H11" si="5">H5</f>
        <v>A - DOM</v>
      </c>
      <c r="I6" s="576" t="s">
        <v>526</v>
      </c>
      <c r="J6" s="576" t="s">
        <v>526</v>
      </c>
      <c r="K6" s="576" t="s">
        <v>526</v>
      </c>
      <c r="L6" s="576" t="s">
        <v>525</v>
      </c>
      <c r="M6" s="576" t="s">
        <v>526</v>
      </c>
      <c r="N6" s="576" t="s">
        <v>957</v>
      </c>
      <c r="O6" s="576" t="s">
        <v>878</v>
      </c>
      <c r="P6" s="578" t="s">
        <v>528</v>
      </c>
      <c r="Q6" s="570">
        <f>'Pro 2'!E280</f>
        <v>0</v>
      </c>
      <c r="R6" s="570">
        <f>'Pro 2'!F280</f>
        <v>0</v>
      </c>
      <c r="S6" s="570">
        <f>'Pro 2'!G280</f>
        <v>0</v>
      </c>
      <c r="T6" s="570">
        <f>'Pro 2'!H280</f>
        <v>0</v>
      </c>
      <c r="U6" s="570">
        <f>'Pro 2'!I280</f>
        <v>0</v>
      </c>
      <c r="V6" s="570">
        <f>'Pro 2'!J280</f>
        <v>0</v>
      </c>
      <c r="W6" s="570">
        <f>'Pro 2'!K280</f>
        <v>0</v>
      </c>
      <c r="X6" s="570">
        <f>'Pro 2'!L280</f>
        <v>0</v>
      </c>
      <c r="Y6" s="562">
        <f>'Pro 2'!E281/1000</f>
        <v>0</v>
      </c>
      <c r="Z6" s="560">
        <f>'Pro 2'!F281/1000</f>
        <v>0</v>
      </c>
      <c r="AA6" s="560">
        <f>'Pro 2'!G281/1000</f>
        <v>0</v>
      </c>
      <c r="AB6" s="560">
        <f>'Pro 2'!H281/1000</f>
        <v>0</v>
      </c>
      <c r="AC6" s="560">
        <f>'Pro 2'!I281/1000</f>
        <v>0</v>
      </c>
      <c r="AD6" s="560">
        <f>'Pro 2'!J281/1000</f>
        <v>0</v>
      </c>
      <c r="AE6" s="560">
        <f>'Pro 2'!K281/1000</f>
        <v>0</v>
      </c>
      <c r="AF6" s="561">
        <f>'Pro 2'!L281/1000</f>
        <v>0</v>
      </c>
      <c r="AG6" s="579">
        <f t="shared" si="1"/>
        <v>0</v>
      </c>
      <c r="AH6" s="580">
        <f t="shared" si="1"/>
        <v>0</v>
      </c>
      <c r="AI6" s="580">
        <f t="shared" si="1"/>
        <v>0</v>
      </c>
      <c r="AJ6" s="580">
        <f t="shared" si="1"/>
        <v>0</v>
      </c>
      <c r="AK6" s="580">
        <f t="shared" si="1"/>
        <v>0</v>
      </c>
      <c r="AL6" s="580">
        <f t="shared" si="1"/>
        <v>0</v>
      </c>
      <c r="AM6" s="580">
        <f t="shared" si="1"/>
        <v>0</v>
      </c>
      <c r="AN6" s="581">
        <f t="shared" si="1"/>
        <v>0</v>
      </c>
    </row>
    <row r="7" spans="1:40" x14ac:dyDescent="0.25">
      <c r="A7" s="566">
        <f t="shared" si="2"/>
        <v>0</v>
      </c>
      <c r="B7" s="566">
        <f t="shared" ref="B7:B11" si="6">A7</f>
        <v>0</v>
      </c>
      <c r="C7" s="566" t="str">
        <f t="shared" si="4"/>
        <v>1 - Producer</v>
      </c>
      <c r="D7" s="566" t="str">
        <f t="shared" si="3"/>
        <v>DOM</v>
      </c>
      <c r="E7" s="567"/>
      <c r="F7" s="567"/>
      <c r="G7" s="568"/>
      <c r="H7" s="566" t="str">
        <f t="shared" si="5"/>
        <v>A - DOM</v>
      </c>
      <c r="I7" s="566" t="s">
        <v>526</v>
      </c>
      <c r="J7" s="566" t="s">
        <v>526</v>
      </c>
      <c r="K7" s="566" t="s">
        <v>526</v>
      </c>
      <c r="L7" s="566" t="s">
        <v>525</v>
      </c>
      <c r="M7" s="566" t="s">
        <v>526</v>
      </c>
      <c r="N7" s="566" t="s">
        <v>958</v>
      </c>
      <c r="O7" s="566" t="s">
        <v>950</v>
      </c>
      <c r="P7" s="569" t="s">
        <v>528</v>
      </c>
      <c r="Q7" s="570">
        <f>'Pro 2'!E285</f>
        <v>0</v>
      </c>
      <c r="R7" s="570">
        <f>'Pro 2'!F285</f>
        <v>0</v>
      </c>
      <c r="S7" s="570">
        <f>'Pro 2'!G285</f>
        <v>0</v>
      </c>
      <c r="T7" s="570">
        <f>'Pro 2'!H285</f>
        <v>0</v>
      </c>
      <c r="U7" s="570">
        <f>'Pro 2'!I285</f>
        <v>0</v>
      </c>
      <c r="V7" s="570">
        <f>'Pro 2'!J285</f>
        <v>0</v>
      </c>
      <c r="W7" s="570">
        <f>'Pro 2'!K285</f>
        <v>0</v>
      </c>
      <c r="X7" s="570">
        <f>'Pro 2'!L285</f>
        <v>0</v>
      </c>
      <c r="Y7" s="562">
        <f>'Pro 2'!E286/1000</f>
        <v>0</v>
      </c>
      <c r="Z7" s="560">
        <f>'Pro 2'!F286/1000</f>
        <v>0</v>
      </c>
      <c r="AA7" s="560">
        <f>'Pro 2'!G286/1000</f>
        <v>0</v>
      </c>
      <c r="AB7" s="560">
        <f>'Pro 2'!H286/1000</f>
        <v>0</v>
      </c>
      <c r="AC7" s="560">
        <f>'Pro 2'!I286/1000</f>
        <v>0</v>
      </c>
      <c r="AD7" s="560">
        <f>'Pro 2'!J286/1000</f>
        <v>0</v>
      </c>
      <c r="AE7" s="560">
        <f>'Pro 2'!K286/1000</f>
        <v>0</v>
      </c>
      <c r="AF7" s="561">
        <f>'Pro 2'!L286/1000</f>
        <v>0</v>
      </c>
      <c r="AG7" s="573">
        <f t="shared" ref="AG7:AG11" si="7">IF(ISERROR(Y7/Q7),0,Y7/Q7)*1000</f>
        <v>0</v>
      </c>
      <c r="AH7" s="574">
        <f t="shared" ref="AH7:AH11" si="8">IF(ISERROR(Z7/R7),0,Z7/R7)*1000</f>
        <v>0</v>
      </c>
      <c r="AI7" s="574">
        <f t="shared" ref="AI7:AI11" si="9">IF(ISERROR(AA7/S7),0,AA7/S7)*1000</f>
        <v>0</v>
      </c>
      <c r="AJ7" s="574">
        <f t="shared" ref="AJ7:AJ11" si="10">IF(ISERROR(AB7/T7),0,AB7/T7)*1000</f>
        <v>0</v>
      </c>
      <c r="AK7" s="574">
        <f t="shared" ref="AK7:AK11" si="11">IF(ISERROR(AC7/U7),0,AC7/U7)*1000</f>
        <v>0</v>
      </c>
      <c r="AL7" s="574">
        <f t="shared" ref="AL7:AL11" si="12">IF(ISERROR(AD7/V7),0,AD7/V7)*1000</f>
        <v>0</v>
      </c>
      <c r="AM7" s="574">
        <f t="shared" ref="AM7:AM11" si="13">IF(ISERROR(AE7/W7),0,AE7/W7)*1000</f>
        <v>0</v>
      </c>
      <c r="AN7" s="575">
        <f t="shared" ref="AN7:AN11" si="14">IF(ISERROR(AF7/X7),0,AF7/X7)*1000</f>
        <v>0</v>
      </c>
    </row>
    <row r="8" spans="1:40" x14ac:dyDescent="0.25">
      <c r="A8" s="576">
        <f t="shared" si="2"/>
        <v>0</v>
      </c>
      <c r="B8" s="576">
        <f t="shared" si="6"/>
        <v>0</v>
      </c>
      <c r="C8" s="576" t="str">
        <f t="shared" si="4"/>
        <v>1 - Producer</v>
      </c>
      <c r="D8" s="576" t="str">
        <f t="shared" si="3"/>
        <v>DOM</v>
      </c>
      <c r="E8" s="577"/>
      <c r="F8" s="577"/>
      <c r="G8" s="576"/>
      <c r="H8" s="576" t="str">
        <f t="shared" si="5"/>
        <v>A - DOM</v>
      </c>
      <c r="I8" s="576" t="s">
        <v>526</v>
      </c>
      <c r="J8" s="576" t="s">
        <v>526</v>
      </c>
      <c r="K8" s="576" t="s">
        <v>526</v>
      </c>
      <c r="L8" s="576" t="s">
        <v>525</v>
      </c>
      <c r="M8" s="576" t="s">
        <v>526</v>
      </c>
      <c r="N8" s="576" t="s">
        <v>959</v>
      </c>
      <c r="O8" s="576" t="s">
        <v>951</v>
      </c>
      <c r="P8" s="578" t="s">
        <v>528</v>
      </c>
      <c r="Q8" s="570">
        <f>'Pro 2'!E290</f>
        <v>0</v>
      </c>
      <c r="R8" s="570">
        <f>'Pro 2'!F290</f>
        <v>0</v>
      </c>
      <c r="S8" s="570">
        <f>'Pro 2'!G290</f>
        <v>0</v>
      </c>
      <c r="T8" s="570">
        <f>'Pro 2'!H290</f>
        <v>0</v>
      </c>
      <c r="U8" s="570">
        <f>'Pro 2'!I290</f>
        <v>0</v>
      </c>
      <c r="V8" s="570">
        <f>'Pro 2'!J290</f>
        <v>0</v>
      </c>
      <c r="W8" s="570">
        <f>'Pro 2'!K290</f>
        <v>0</v>
      </c>
      <c r="X8" s="570">
        <f>'Pro 2'!L290</f>
        <v>0</v>
      </c>
      <c r="Y8" s="562">
        <f>'Pro 2'!E291/1000</f>
        <v>0</v>
      </c>
      <c r="Z8" s="560">
        <f>'Pro 2'!F291/1000</f>
        <v>0</v>
      </c>
      <c r="AA8" s="560">
        <f>'Pro 2'!G291/1000</f>
        <v>0</v>
      </c>
      <c r="AB8" s="560">
        <f>'Pro 2'!H291/1000</f>
        <v>0</v>
      </c>
      <c r="AC8" s="560">
        <f>'Pro 2'!I291/1000</f>
        <v>0</v>
      </c>
      <c r="AD8" s="560">
        <f>'Pro 2'!J291/1000</f>
        <v>0</v>
      </c>
      <c r="AE8" s="560">
        <f>'Pro 2'!K291/1000</f>
        <v>0</v>
      </c>
      <c r="AF8" s="561">
        <f>'Pro 2'!L291/1000</f>
        <v>0</v>
      </c>
      <c r="AG8" s="579">
        <f t="shared" si="7"/>
        <v>0</v>
      </c>
      <c r="AH8" s="580">
        <f t="shared" si="8"/>
        <v>0</v>
      </c>
      <c r="AI8" s="580">
        <f t="shared" si="9"/>
        <v>0</v>
      </c>
      <c r="AJ8" s="580">
        <f t="shared" si="10"/>
        <v>0</v>
      </c>
      <c r="AK8" s="580">
        <f t="shared" si="11"/>
        <v>0</v>
      </c>
      <c r="AL8" s="580">
        <f t="shared" si="12"/>
        <v>0</v>
      </c>
      <c r="AM8" s="580">
        <f t="shared" si="13"/>
        <v>0</v>
      </c>
      <c r="AN8" s="581">
        <f t="shared" si="14"/>
        <v>0</v>
      </c>
    </row>
    <row r="9" spans="1:40" x14ac:dyDescent="0.25">
      <c r="A9" s="566">
        <f t="shared" si="2"/>
        <v>0</v>
      </c>
      <c r="B9" s="566">
        <f t="shared" si="6"/>
        <v>0</v>
      </c>
      <c r="C9" s="566" t="str">
        <f t="shared" si="4"/>
        <v>1 - Producer</v>
      </c>
      <c r="D9" s="566" t="str">
        <f t="shared" si="3"/>
        <v>DOM</v>
      </c>
      <c r="E9" s="567"/>
      <c r="F9" s="567"/>
      <c r="G9" s="568"/>
      <c r="H9" s="566" t="str">
        <f t="shared" si="5"/>
        <v>A - DOM</v>
      </c>
      <c r="I9" s="566" t="s">
        <v>526</v>
      </c>
      <c r="J9" s="566" t="s">
        <v>526</v>
      </c>
      <c r="K9" s="566" t="s">
        <v>526</v>
      </c>
      <c r="L9" s="566" t="s">
        <v>525</v>
      </c>
      <c r="M9" s="566" t="s">
        <v>526</v>
      </c>
      <c r="N9" s="566" t="s">
        <v>960</v>
      </c>
      <c r="O9" s="566" t="s">
        <v>952</v>
      </c>
      <c r="P9" s="569" t="s">
        <v>528</v>
      </c>
      <c r="Q9" s="570">
        <f>'Pro 2'!E295</f>
        <v>0</v>
      </c>
      <c r="R9" s="570">
        <f>'Pro 2'!F295</f>
        <v>0</v>
      </c>
      <c r="S9" s="570">
        <f>'Pro 2'!G295</f>
        <v>0</v>
      </c>
      <c r="T9" s="570">
        <f>'Pro 2'!H295</f>
        <v>0</v>
      </c>
      <c r="U9" s="570">
        <f>'Pro 2'!I295</f>
        <v>0</v>
      </c>
      <c r="V9" s="570">
        <f>'Pro 2'!J295</f>
        <v>0</v>
      </c>
      <c r="W9" s="570">
        <f>'Pro 2'!K295</f>
        <v>0</v>
      </c>
      <c r="X9" s="570">
        <f>'Pro 2'!L295</f>
        <v>0</v>
      </c>
      <c r="Y9" s="562">
        <f>'Pro 2'!E296/1000</f>
        <v>0</v>
      </c>
      <c r="Z9" s="560">
        <f>'Pro 2'!F296/1000</f>
        <v>0</v>
      </c>
      <c r="AA9" s="560">
        <f>'Pro 2'!G296/1000</f>
        <v>0</v>
      </c>
      <c r="AB9" s="560">
        <f>'Pro 2'!H296/1000</f>
        <v>0</v>
      </c>
      <c r="AC9" s="560">
        <f>'Pro 2'!I296/1000</f>
        <v>0</v>
      </c>
      <c r="AD9" s="560">
        <f>'Pro 2'!J296/1000</f>
        <v>0</v>
      </c>
      <c r="AE9" s="560">
        <f>'Pro 2'!K296/1000</f>
        <v>0</v>
      </c>
      <c r="AF9" s="561">
        <f>'Pro 2'!L296/1000</f>
        <v>0</v>
      </c>
      <c r="AG9" s="573">
        <f t="shared" si="7"/>
        <v>0</v>
      </c>
      <c r="AH9" s="574">
        <f t="shared" si="8"/>
        <v>0</v>
      </c>
      <c r="AI9" s="574">
        <f t="shared" si="9"/>
        <v>0</v>
      </c>
      <c r="AJ9" s="574">
        <f t="shared" si="10"/>
        <v>0</v>
      </c>
      <c r="AK9" s="574">
        <f t="shared" si="11"/>
        <v>0</v>
      </c>
      <c r="AL9" s="574">
        <f t="shared" si="12"/>
        <v>0</v>
      </c>
      <c r="AM9" s="574">
        <f t="shared" si="13"/>
        <v>0</v>
      </c>
      <c r="AN9" s="575">
        <f t="shared" si="14"/>
        <v>0</v>
      </c>
    </row>
    <row r="10" spans="1:40" x14ac:dyDescent="0.25">
      <c r="A10" s="576">
        <f t="shared" si="2"/>
        <v>0</v>
      </c>
      <c r="B10" s="576">
        <f t="shared" si="6"/>
        <v>0</v>
      </c>
      <c r="C10" s="576" t="str">
        <f t="shared" si="4"/>
        <v>1 - Producer</v>
      </c>
      <c r="D10" s="576" t="str">
        <f t="shared" si="3"/>
        <v>DOM</v>
      </c>
      <c r="E10" s="577"/>
      <c r="F10" s="577"/>
      <c r="G10" s="576"/>
      <c r="H10" s="576" t="str">
        <f t="shared" si="5"/>
        <v>A - DOM</v>
      </c>
      <c r="I10" s="576" t="s">
        <v>526</v>
      </c>
      <c r="J10" s="576" t="s">
        <v>526</v>
      </c>
      <c r="K10" s="576" t="s">
        <v>526</v>
      </c>
      <c r="L10" s="576" t="s">
        <v>525</v>
      </c>
      <c r="M10" s="576" t="s">
        <v>526</v>
      </c>
      <c r="N10" s="576" t="s">
        <v>961</v>
      </c>
      <c r="O10" s="576" t="s">
        <v>953</v>
      </c>
      <c r="P10" s="578" t="s">
        <v>528</v>
      </c>
      <c r="Q10" s="570">
        <f>'Pro 2'!E300</f>
        <v>0</v>
      </c>
      <c r="R10" s="570">
        <f>'Pro 2'!F300</f>
        <v>0</v>
      </c>
      <c r="S10" s="570">
        <f>'Pro 2'!G300</f>
        <v>0</v>
      </c>
      <c r="T10" s="570">
        <f>'Pro 2'!H300</f>
        <v>0</v>
      </c>
      <c r="U10" s="570">
        <f>'Pro 2'!I300</f>
        <v>0</v>
      </c>
      <c r="V10" s="570">
        <f>'Pro 2'!J300</f>
        <v>0</v>
      </c>
      <c r="W10" s="570">
        <f>'Pro 2'!K300</f>
        <v>0</v>
      </c>
      <c r="X10" s="570">
        <f>'Pro 2'!L300</f>
        <v>0</v>
      </c>
      <c r="Y10" s="562">
        <f>'Pro 2'!E301/1000</f>
        <v>0</v>
      </c>
      <c r="Z10" s="560">
        <f>'Pro 2'!F301/1000</f>
        <v>0</v>
      </c>
      <c r="AA10" s="560">
        <f>'Pro 2'!G301/1000</f>
        <v>0</v>
      </c>
      <c r="AB10" s="560">
        <f>'Pro 2'!H301/1000</f>
        <v>0</v>
      </c>
      <c r="AC10" s="560">
        <f>'Pro 2'!I301/1000</f>
        <v>0</v>
      </c>
      <c r="AD10" s="560">
        <f>'Pro 2'!J301/1000</f>
        <v>0</v>
      </c>
      <c r="AE10" s="560">
        <f>'Pro 2'!K301/1000</f>
        <v>0</v>
      </c>
      <c r="AF10" s="561">
        <f>'Pro 2'!L301/1000</f>
        <v>0</v>
      </c>
      <c r="AG10" s="579">
        <f t="shared" si="7"/>
        <v>0</v>
      </c>
      <c r="AH10" s="580">
        <f t="shared" si="8"/>
        <v>0</v>
      </c>
      <c r="AI10" s="580">
        <f t="shared" si="9"/>
        <v>0</v>
      </c>
      <c r="AJ10" s="580">
        <f t="shared" si="10"/>
        <v>0</v>
      </c>
      <c r="AK10" s="580">
        <f t="shared" si="11"/>
        <v>0</v>
      </c>
      <c r="AL10" s="580">
        <f t="shared" si="12"/>
        <v>0</v>
      </c>
      <c r="AM10" s="580">
        <f t="shared" si="13"/>
        <v>0</v>
      </c>
      <c r="AN10" s="581">
        <f t="shared" si="14"/>
        <v>0</v>
      </c>
    </row>
    <row r="11" spans="1:40" x14ac:dyDescent="0.25">
      <c r="A11" s="566">
        <f t="shared" si="2"/>
        <v>0</v>
      </c>
      <c r="B11" s="566">
        <f t="shared" si="6"/>
        <v>0</v>
      </c>
      <c r="C11" s="566" t="str">
        <f t="shared" si="4"/>
        <v>1 - Producer</v>
      </c>
      <c r="D11" s="566" t="str">
        <f t="shared" si="3"/>
        <v>DOM</v>
      </c>
      <c r="E11" s="567"/>
      <c r="F11" s="567"/>
      <c r="G11" s="568"/>
      <c r="H11" s="566" t="str">
        <f t="shared" si="5"/>
        <v>A - DOM</v>
      </c>
      <c r="I11" s="566" t="s">
        <v>526</v>
      </c>
      <c r="J11" s="566" t="s">
        <v>526</v>
      </c>
      <c r="K11" s="566" t="s">
        <v>526</v>
      </c>
      <c r="L11" s="566" t="s">
        <v>525</v>
      </c>
      <c r="M11" s="566" t="s">
        <v>526</v>
      </c>
      <c r="N11" s="566" t="s">
        <v>962</v>
      </c>
      <c r="O11" s="566" t="s">
        <v>954</v>
      </c>
      <c r="P11" s="569" t="s">
        <v>528</v>
      </c>
      <c r="Q11" s="570">
        <f>'Pro 2'!E305</f>
        <v>0</v>
      </c>
      <c r="R11" s="570">
        <f>'Pro 2'!F305</f>
        <v>0</v>
      </c>
      <c r="S11" s="570">
        <f>'Pro 2'!G305</f>
        <v>0</v>
      </c>
      <c r="T11" s="570">
        <f>'Pro 2'!H305</f>
        <v>0</v>
      </c>
      <c r="U11" s="570">
        <f>'Pro 2'!I305</f>
        <v>0</v>
      </c>
      <c r="V11" s="570">
        <f>'Pro 2'!J305</f>
        <v>0</v>
      </c>
      <c r="W11" s="570">
        <f>'Pro 2'!K305</f>
        <v>0</v>
      </c>
      <c r="X11" s="570">
        <f>'Pro 2'!L305</f>
        <v>0</v>
      </c>
      <c r="Y11" s="562">
        <f>'Pro 2'!E306/1000</f>
        <v>0</v>
      </c>
      <c r="Z11" s="560">
        <f>'Pro 2'!F306/1000</f>
        <v>0</v>
      </c>
      <c r="AA11" s="560">
        <f>'Pro 2'!G306/1000</f>
        <v>0</v>
      </c>
      <c r="AB11" s="560">
        <f>'Pro 2'!H306/1000</f>
        <v>0</v>
      </c>
      <c r="AC11" s="560">
        <f>'Pro 2'!I306/1000</f>
        <v>0</v>
      </c>
      <c r="AD11" s="560">
        <f>'Pro 2'!J306/1000</f>
        <v>0</v>
      </c>
      <c r="AE11" s="560">
        <f>'Pro 2'!K306/1000</f>
        <v>0</v>
      </c>
      <c r="AF11" s="561">
        <f>'Pro 2'!L306/1000</f>
        <v>0</v>
      </c>
      <c r="AG11" s="573">
        <f t="shared" si="7"/>
        <v>0</v>
      </c>
      <c r="AH11" s="574">
        <f t="shared" si="8"/>
        <v>0</v>
      </c>
      <c r="AI11" s="574">
        <f t="shared" si="9"/>
        <v>0</v>
      </c>
      <c r="AJ11" s="574">
        <f t="shared" si="10"/>
        <v>0</v>
      </c>
      <c r="AK11" s="574">
        <f t="shared" si="11"/>
        <v>0</v>
      </c>
      <c r="AL11" s="574">
        <f t="shared" si="12"/>
        <v>0</v>
      </c>
      <c r="AM11" s="574">
        <f t="shared" si="13"/>
        <v>0</v>
      </c>
      <c r="AN11" s="575">
        <f t="shared" si="14"/>
        <v>0</v>
      </c>
    </row>
  </sheetData>
  <sheetProtection algorithmName="SHA-512" hashValue="spe2kpwLrrV2QKA88UuP6QPkDgUiobBu1UoIqa2thZhO1onqKBb+8JI2N+hpspa2lnC5DtoIGkHtnD4zKcW7oA==" saltValue="sYmUYcQA6CjsEW0NM8Jgrw==" spinCount="100000" sheet="1" objects="1" scenarios="1" selectLockedCells="1"/>
  <phoneticPr fontId="18" type="noConversion"/>
  <dataValidations count="4">
    <dataValidation type="list" allowBlank="1" showInputMessage="1" showErrorMessage="1" sqref="L4" xr:uid="{92FFB1D4-82DE-4EE7-A283-9DF44D8A62DE}">
      <formula1>$K$1:$K$11</formula1>
    </dataValidation>
    <dataValidation type="list" allowBlank="1" showInputMessage="1" showErrorMessage="1" sqref="P4:P11" xr:uid="{414AACD8-2312-456A-86CF-4CBF9DF5D273}">
      <formula1>$P$1:$P$5</formula1>
    </dataValidation>
    <dataValidation type="list" allowBlank="1" showInputMessage="1" showErrorMessage="1" sqref="O4:O11" xr:uid="{BF800F9E-DF49-4693-B66D-04B5835607CC}">
      <formula1>$O$1:$O$11</formula1>
    </dataValidation>
    <dataValidation type="list" allowBlank="1" showInputMessage="1" showErrorMessage="1" sqref="D4:D11" xr:uid="{564D0891-CD5F-40DB-B359-5B653D82B8A9}">
      <formula1>$D$1:$D$3</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1A3F-CDAE-4472-BF50-5302CE324A3D}">
  <sheetPr>
    <tabColor rgb="FFFF0000"/>
  </sheetPr>
  <dimension ref="A2:O9"/>
  <sheetViews>
    <sheetView workbookViewId="0">
      <selection activeCell="H15" sqref="H15"/>
    </sheetView>
  </sheetViews>
  <sheetFormatPr defaultRowHeight="15" x14ac:dyDescent="0.25"/>
  <cols>
    <col min="1" max="1" width="27.5703125" customWidth="1"/>
    <col min="2" max="2" width="15.7109375" customWidth="1"/>
    <col min="3" max="3" width="15.5703125" bestFit="1" customWidth="1"/>
    <col min="4" max="4" width="7.5703125" customWidth="1"/>
    <col min="5" max="5" width="72.7109375" customWidth="1"/>
    <col min="6" max="15" width="10.5703125" customWidth="1"/>
  </cols>
  <sheetData>
    <row r="2" spans="1:15" ht="15.75" thickBot="1" x14ac:dyDescent="0.3"/>
    <row r="3" spans="1:15" ht="15.75" thickBot="1" x14ac:dyDescent="0.3">
      <c r="F3" s="964" t="s">
        <v>561</v>
      </c>
      <c r="G3" s="965"/>
      <c r="H3" s="965"/>
      <c r="I3" s="965"/>
      <c r="J3" s="965"/>
      <c r="K3" s="966" t="s">
        <v>879</v>
      </c>
      <c r="L3" s="967"/>
      <c r="M3" s="967"/>
      <c r="N3" s="967"/>
      <c r="O3" s="967"/>
    </row>
    <row r="4" spans="1:15" x14ac:dyDescent="0.25">
      <c r="A4" s="582" t="s">
        <v>508</v>
      </c>
      <c r="B4" s="583" t="s">
        <v>532</v>
      </c>
      <c r="C4" s="583" t="s">
        <v>533</v>
      </c>
      <c r="D4" s="583" t="s">
        <v>534</v>
      </c>
      <c r="E4" s="583" t="s">
        <v>535</v>
      </c>
      <c r="F4" s="584">
        <v>2022</v>
      </c>
      <c r="G4" s="584">
        <v>2023</v>
      </c>
      <c r="H4" s="584">
        <v>2024</v>
      </c>
      <c r="I4" s="585" t="s">
        <v>773</v>
      </c>
      <c r="J4" s="585" t="s">
        <v>880</v>
      </c>
      <c r="K4" s="584">
        <f>F4</f>
        <v>2022</v>
      </c>
      <c r="L4" s="584">
        <f t="shared" ref="L4:O4" si="0">G4</f>
        <v>2023</v>
      </c>
      <c r="M4" s="584">
        <f t="shared" si="0"/>
        <v>2024</v>
      </c>
      <c r="N4" s="584" t="str">
        <f t="shared" si="0"/>
        <v>I 2024</v>
      </c>
      <c r="O4" s="584" t="str">
        <f t="shared" si="0"/>
        <v>I 2025</v>
      </c>
    </row>
    <row r="5" spans="1:15" x14ac:dyDescent="0.25">
      <c r="A5" s="586">
        <f>Intro!E77</f>
        <v>0</v>
      </c>
      <c r="B5" s="587" t="s">
        <v>881</v>
      </c>
      <c r="C5" s="587" t="s">
        <v>467</v>
      </c>
      <c r="D5" s="587" t="s">
        <v>536</v>
      </c>
      <c r="E5" s="80" t="s">
        <v>537</v>
      </c>
      <c r="F5" s="588">
        <f>'Pro 2'!H$29*K5</f>
        <v>0</v>
      </c>
      <c r="G5" s="588">
        <f>'Pro 2'!I$29*L5</f>
        <v>0</v>
      </c>
      <c r="H5" s="588">
        <f>'Pro 2'!J$29*M5</f>
        <v>0</v>
      </c>
      <c r="I5" s="588">
        <f>'Pro 2'!K$29*N5</f>
        <v>0</v>
      </c>
      <c r="J5" s="588">
        <f>'Pro 2'!L$29*O5</f>
        <v>0</v>
      </c>
      <c r="K5" s="589">
        <f>'Pro 2'!G209/100</f>
        <v>0</v>
      </c>
      <c r="L5" s="589">
        <f>'Pro 2'!H209/100</f>
        <v>0</v>
      </c>
      <c r="M5" s="589">
        <f>'Pro 2'!I209/100</f>
        <v>0</v>
      </c>
      <c r="N5" s="589">
        <f>'Pro 2'!J209/100</f>
        <v>0</v>
      </c>
      <c r="O5" s="590">
        <f>'Pro 2'!K209/100</f>
        <v>0</v>
      </c>
    </row>
    <row r="6" spans="1:15" x14ac:dyDescent="0.25">
      <c r="A6" s="591">
        <f>A5</f>
        <v>0</v>
      </c>
      <c r="B6" s="592" t="str">
        <f t="shared" ref="B6:C9" si="1">B5</f>
        <v>Producer</v>
      </c>
      <c r="C6" s="592" t="str">
        <f t="shared" si="1"/>
        <v>Domestic Sales</v>
      </c>
      <c r="D6" s="592" t="s">
        <v>538</v>
      </c>
      <c r="E6" s="81" t="s">
        <v>539</v>
      </c>
      <c r="F6" s="588">
        <f>'Pro 2'!H$29*K6</f>
        <v>0</v>
      </c>
      <c r="G6" s="588">
        <f>'Pro 2'!I$29*L6</f>
        <v>0</v>
      </c>
      <c r="H6" s="588">
        <f>'Pro 2'!J$29*M6</f>
        <v>0</v>
      </c>
      <c r="I6" s="588">
        <f>'Pro 2'!K$29*N6</f>
        <v>0</v>
      </c>
      <c r="J6" s="588">
        <f>'Pro 2'!L$29*O6</f>
        <v>0</v>
      </c>
      <c r="K6" s="589">
        <f>'Pro 2'!G210/100</f>
        <v>0</v>
      </c>
      <c r="L6" s="589">
        <f>'Pro 2'!H210/100</f>
        <v>0</v>
      </c>
      <c r="M6" s="589">
        <f>'Pro 2'!I210/100</f>
        <v>0</v>
      </c>
      <c r="N6" s="589">
        <f>'Pro 2'!J210/100</f>
        <v>0</v>
      </c>
      <c r="O6" s="590">
        <f>'Pro 2'!K210/100</f>
        <v>0</v>
      </c>
    </row>
    <row r="7" spans="1:15" x14ac:dyDescent="0.25">
      <c r="A7" s="591">
        <f t="shared" ref="A7:A9" si="2">A6</f>
        <v>0</v>
      </c>
      <c r="B7" s="592" t="str">
        <f t="shared" si="1"/>
        <v>Producer</v>
      </c>
      <c r="C7" s="592" t="str">
        <f t="shared" si="1"/>
        <v>Domestic Sales</v>
      </c>
      <c r="D7" s="592" t="s">
        <v>540</v>
      </c>
      <c r="E7" s="81" t="s">
        <v>541</v>
      </c>
      <c r="F7" s="588">
        <f>'Pro 2'!H$29*K7</f>
        <v>0</v>
      </c>
      <c r="G7" s="588">
        <f>'Pro 2'!I$29*L7</f>
        <v>0</v>
      </c>
      <c r="H7" s="588">
        <f>'Pro 2'!J$29*M7</f>
        <v>0</v>
      </c>
      <c r="I7" s="588">
        <f>'Pro 2'!K$29*N7</f>
        <v>0</v>
      </c>
      <c r="J7" s="588">
        <f>'Pro 2'!L$29*O7</f>
        <v>0</v>
      </c>
      <c r="K7" s="589">
        <f>'Pro 2'!G211/100</f>
        <v>0</v>
      </c>
      <c r="L7" s="589">
        <f>'Pro 2'!H211/100</f>
        <v>0</v>
      </c>
      <c r="M7" s="589">
        <f>'Pro 2'!I211/100</f>
        <v>0</v>
      </c>
      <c r="N7" s="589">
        <f>'Pro 2'!J211/100</f>
        <v>0</v>
      </c>
      <c r="O7" s="590">
        <f>'Pro 2'!K211/100</f>
        <v>0</v>
      </c>
    </row>
    <row r="8" spans="1:15" x14ac:dyDescent="0.25">
      <c r="A8" s="591">
        <f t="shared" si="2"/>
        <v>0</v>
      </c>
      <c r="B8" s="592" t="str">
        <f t="shared" si="1"/>
        <v>Producer</v>
      </c>
      <c r="C8" s="592" t="str">
        <f t="shared" si="1"/>
        <v>Domestic Sales</v>
      </c>
      <c r="D8" s="592" t="s">
        <v>542</v>
      </c>
      <c r="E8" s="81" t="s">
        <v>543</v>
      </c>
      <c r="F8" s="588">
        <f>'Pro 2'!H$29*K8</f>
        <v>0</v>
      </c>
      <c r="G8" s="588">
        <f>'Pro 2'!I$29*L8</f>
        <v>0</v>
      </c>
      <c r="H8" s="588">
        <f>'Pro 2'!J$29*M8</f>
        <v>0</v>
      </c>
      <c r="I8" s="588">
        <f>'Pro 2'!K$29*N8</f>
        <v>0</v>
      </c>
      <c r="J8" s="588">
        <f>'Pro 2'!L$29*O8</f>
        <v>0</v>
      </c>
      <c r="K8" s="589">
        <f>'Pro 2'!G212/100</f>
        <v>0</v>
      </c>
      <c r="L8" s="589">
        <f>'Pro 2'!H212/100</f>
        <v>0</v>
      </c>
      <c r="M8" s="589">
        <f>'Pro 2'!I212/100</f>
        <v>0</v>
      </c>
      <c r="N8" s="589">
        <f>'Pro 2'!J212/100</f>
        <v>0</v>
      </c>
      <c r="O8" s="590">
        <f>'Pro 2'!K212/100</f>
        <v>0</v>
      </c>
    </row>
    <row r="9" spans="1:15" x14ac:dyDescent="0.25">
      <c r="A9" s="591">
        <f t="shared" si="2"/>
        <v>0</v>
      </c>
      <c r="B9" s="592" t="str">
        <f t="shared" si="1"/>
        <v>Producer</v>
      </c>
      <c r="C9" s="592" t="str">
        <f t="shared" si="1"/>
        <v>Domestic Sales</v>
      </c>
      <c r="D9" s="592" t="s">
        <v>544</v>
      </c>
      <c r="E9" s="81" t="s">
        <v>545</v>
      </c>
      <c r="F9" s="588">
        <f>'Pro 2'!H$29*K9</f>
        <v>0</v>
      </c>
      <c r="G9" s="588">
        <f>'Pro 2'!I$29*L9</f>
        <v>0</v>
      </c>
      <c r="H9" s="588">
        <f>'Pro 2'!J$29*M9</f>
        <v>0</v>
      </c>
      <c r="I9" s="588">
        <f>'Pro 2'!K$29*N9</f>
        <v>0</v>
      </c>
      <c r="J9" s="588">
        <f>'Pro 2'!L$29*O9</f>
        <v>0</v>
      </c>
      <c r="K9" s="589">
        <f>'Pro 2'!G213/100</f>
        <v>0</v>
      </c>
      <c r="L9" s="589">
        <f>'Pro 2'!H213/100</f>
        <v>0</v>
      </c>
      <c r="M9" s="589">
        <f>'Pro 2'!I213/100</f>
        <v>0</v>
      </c>
      <c r="N9" s="589">
        <f>'Pro 2'!J213/100</f>
        <v>0</v>
      </c>
      <c r="O9" s="590">
        <f>'Pro 2'!K213/100</f>
        <v>0</v>
      </c>
    </row>
  </sheetData>
  <sheetProtection algorithmName="SHA-512" hashValue="GCkhWE4Nk49vyq90GH24ALxfSgM/vYAXGayMpxzwEPEWKFZuPTn8SOyjBqhh1CHA5XtnkQF9dO/3OnMnvtgAbQ==" saltValue="8xBGHbpeDw46lHysOqsxig==" spinCount="100000" sheet="1" objects="1" scenarios="1" selectLockedCells="1"/>
  <mergeCells count="2">
    <mergeCell ref="F3:J3"/>
    <mergeCell ref="K3:O3"/>
  </mergeCells>
  <dataValidations count="3">
    <dataValidation type="list" allowBlank="1" showInputMessage="1" showErrorMessage="1" sqref="D5:D8" xr:uid="{439F9980-7475-4A25-96C4-D75138824C39}">
      <formula1>$D$1:$D$8</formula1>
    </dataValidation>
    <dataValidation type="list" allowBlank="1" showInputMessage="1" showErrorMessage="1" sqref="B5" xr:uid="{8D299180-103B-4EBA-B1D5-63158D977F91}">
      <formula1>$B$1:$B$3</formula1>
    </dataValidation>
    <dataValidation type="list" allowBlank="1" showInputMessage="1" showErrorMessage="1" sqref="C5:C8" xr:uid="{EABD0A8F-95BB-4228-BF98-80AB39DF9D05}">
      <formula1>$C$1:$C$6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3"/>
  <sheetViews>
    <sheetView showGridLines="0" tabSelected="1" zoomScaleNormal="100" workbookViewId="0">
      <selection activeCell="G21" sqref="G21:G22"/>
    </sheetView>
  </sheetViews>
  <sheetFormatPr defaultColWidth="9.28515625" defaultRowHeight="14.25" x14ac:dyDescent="0.25"/>
  <cols>
    <col min="1" max="1" width="1.7109375" style="15" customWidth="1"/>
    <col min="2" max="12" width="14.5703125" style="26" customWidth="1"/>
    <col min="13" max="13" width="6.28515625" style="1" customWidth="1"/>
    <col min="14" max="14" width="9" style="2" customWidth="1"/>
    <col min="15" max="15" width="16.28515625" style="2" hidden="1" customWidth="1"/>
    <col min="16" max="16" width="16.42578125" style="2" hidden="1" customWidth="1"/>
    <col min="17" max="23" width="9" style="2" customWidth="1"/>
    <col min="24" max="16384" width="9.28515625" style="2"/>
  </cols>
  <sheetData>
    <row r="1" spans="1:22" x14ac:dyDescent="0.25">
      <c r="O1" s="3" t="s">
        <v>169</v>
      </c>
      <c r="P1" s="3" t="s">
        <v>170</v>
      </c>
      <c r="Q1" s="3"/>
      <c r="R1" s="3"/>
      <c r="S1" s="3"/>
      <c r="T1" s="3"/>
      <c r="U1" s="3"/>
      <c r="V1" s="3"/>
    </row>
    <row r="2" spans="1:22" x14ac:dyDescent="0.25">
      <c r="B2" s="27" t="s">
        <v>0</v>
      </c>
      <c r="C2" s="27"/>
      <c r="O2" s="9"/>
      <c r="P2" s="9"/>
    </row>
    <row r="3" spans="1:22" x14ac:dyDescent="0.25">
      <c r="B3" s="28"/>
      <c r="C3" s="28"/>
      <c r="O3" s="9"/>
      <c r="P3" s="9"/>
    </row>
    <row r="4" spans="1:22" s="9" customFormat="1" x14ac:dyDescent="0.25">
      <c r="A4" s="16"/>
      <c r="B4" s="709" t="s">
        <v>665</v>
      </c>
      <c r="C4" s="709"/>
      <c r="D4" s="709"/>
      <c r="E4" s="709"/>
      <c r="F4" s="709"/>
      <c r="G4" s="709"/>
      <c r="H4" s="709"/>
      <c r="I4" s="709"/>
      <c r="J4" s="709"/>
      <c r="K4" s="709"/>
      <c r="L4" s="709"/>
      <c r="M4" s="21"/>
      <c r="N4" s="21"/>
      <c r="O4" s="17"/>
      <c r="P4" s="17"/>
    </row>
    <row r="5" spans="1:22" s="9" customFormat="1" x14ac:dyDescent="0.25">
      <c r="A5" s="16"/>
      <c r="B5" s="709" t="str">
        <f>Variables!B2</f>
        <v>NQ-2025-008</v>
      </c>
      <c r="C5" s="709"/>
      <c r="D5" s="709"/>
      <c r="E5" s="709"/>
      <c r="F5" s="709"/>
      <c r="G5" s="709"/>
      <c r="H5" s="709"/>
      <c r="I5" s="709"/>
      <c r="J5" s="709"/>
      <c r="K5" s="709"/>
      <c r="L5" s="709"/>
      <c r="M5" s="21"/>
      <c r="N5" s="21"/>
      <c r="O5" s="17"/>
      <c r="P5" s="17"/>
    </row>
    <row r="6" spans="1:22" s="18" customFormat="1" x14ac:dyDescent="0.25">
      <c r="A6" s="16"/>
      <c r="B6" s="715" t="str">
        <f>UPPER(Variables!B3&amp;" | "&amp;Variables!C3)</f>
        <v>THERMOFORMED MOLDED FIBRE TABLEWARE | VAISSELLE EN FIBRE MOULÉE THERMOFORMÉE</v>
      </c>
      <c r="C6" s="715"/>
      <c r="D6" s="715"/>
      <c r="E6" s="715"/>
      <c r="F6" s="715"/>
      <c r="G6" s="715"/>
      <c r="H6" s="715"/>
      <c r="I6" s="715"/>
      <c r="J6" s="715"/>
      <c r="K6" s="715"/>
      <c r="L6" s="715"/>
      <c r="M6" s="17"/>
      <c r="N6" s="17"/>
      <c r="O6" s="19"/>
      <c r="P6" s="19"/>
    </row>
    <row r="7" spans="1:22" s="10" customFormat="1" x14ac:dyDescent="0.25">
      <c r="A7" s="20"/>
      <c r="B7" s="29"/>
      <c r="C7" s="29"/>
      <c r="D7" s="30"/>
      <c r="E7" s="30"/>
      <c r="F7" s="30"/>
      <c r="G7" s="30"/>
      <c r="H7" s="30"/>
      <c r="I7" s="30"/>
      <c r="J7" s="30"/>
      <c r="K7" s="30"/>
      <c r="L7" s="30"/>
      <c r="O7" s="11"/>
      <c r="P7" s="11"/>
    </row>
    <row r="8" spans="1:22" s="9" customFormat="1" x14ac:dyDescent="0.25">
      <c r="A8" s="16"/>
      <c r="B8" s="703" t="s">
        <v>666</v>
      </c>
      <c r="C8" s="704"/>
      <c r="D8" s="704"/>
      <c r="E8" s="704"/>
      <c r="F8" s="704"/>
      <c r="G8" s="704"/>
      <c r="H8" s="704"/>
      <c r="I8" s="704"/>
      <c r="J8" s="704"/>
      <c r="K8" s="704"/>
      <c r="L8" s="705"/>
      <c r="M8" s="21"/>
      <c r="N8" s="21"/>
      <c r="O8" s="17"/>
      <c r="P8" s="17"/>
    </row>
    <row r="9" spans="1:22" s="12" customFormat="1" x14ac:dyDescent="0.25">
      <c r="A9" s="14"/>
      <c r="B9" s="31"/>
      <c r="C9" s="32"/>
      <c r="D9" s="33"/>
      <c r="E9" s="33"/>
      <c r="F9" s="33"/>
      <c r="G9" s="33"/>
      <c r="H9" s="33"/>
      <c r="I9" s="33"/>
      <c r="J9" s="33"/>
      <c r="K9" s="33"/>
      <c r="L9" s="34"/>
    </row>
    <row r="10" spans="1:22" s="157" customFormat="1" x14ac:dyDescent="0.25">
      <c r="A10" s="244"/>
      <c r="B10" s="694"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695"/>
      <c r="D10" s="695"/>
      <c r="E10" s="695"/>
      <c r="F10" s="695"/>
      <c r="G10" s="640"/>
      <c r="H10" s="710" t="str">
        <f>"Le Tribunal canadien du commerce extérieur (le Tribunal) a ouvert une enquête concernant "&amp;Variables!C4&amp;" de "&amp;Variables!C3&amp;" (comme définie ci-dessous) originaires ou exporté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710"/>
      <c r="J10" s="710"/>
      <c r="K10" s="710"/>
      <c r="L10" s="711"/>
    </row>
    <row r="11" spans="1:22" s="157" customFormat="1" x14ac:dyDescent="0.25">
      <c r="A11" s="244"/>
      <c r="B11" s="694"/>
      <c r="C11" s="695"/>
      <c r="D11" s="695"/>
      <c r="E11" s="695"/>
      <c r="F11" s="695"/>
      <c r="G11" s="640"/>
      <c r="H11" s="710"/>
      <c r="I11" s="710"/>
      <c r="J11" s="710"/>
      <c r="K11" s="710"/>
      <c r="L11" s="711"/>
    </row>
    <row r="12" spans="1:22" s="157" customFormat="1" x14ac:dyDescent="0.25">
      <c r="A12" s="244"/>
      <c r="B12" s="694"/>
      <c r="C12" s="695"/>
      <c r="D12" s="695"/>
      <c r="E12" s="695"/>
      <c r="F12" s="695"/>
      <c r="G12" s="640"/>
      <c r="H12" s="710"/>
      <c r="I12" s="710"/>
      <c r="J12" s="710"/>
      <c r="K12" s="710"/>
      <c r="L12" s="711"/>
    </row>
    <row r="13" spans="1:22" s="157" customFormat="1" x14ac:dyDescent="0.25">
      <c r="A13" s="244"/>
      <c r="B13" s="694"/>
      <c r="C13" s="695"/>
      <c r="D13" s="695"/>
      <c r="E13" s="695"/>
      <c r="F13" s="695"/>
      <c r="G13" s="640"/>
      <c r="H13" s="710"/>
      <c r="I13" s="710"/>
      <c r="J13" s="710"/>
      <c r="K13" s="710"/>
      <c r="L13" s="711"/>
    </row>
    <row r="14" spans="1:22" s="157" customFormat="1" x14ac:dyDescent="0.25">
      <c r="A14" s="244"/>
      <c r="B14" s="694"/>
      <c r="C14" s="695"/>
      <c r="D14" s="695"/>
      <c r="E14" s="695"/>
      <c r="F14" s="695"/>
      <c r="G14" s="640"/>
      <c r="H14" s="710"/>
      <c r="I14" s="710"/>
      <c r="J14" s="710"/>
      <c r="K14" s="710"/>
      <c r="L14" s="711"/>
    </row>
    <row r="15" spans="1:22" s="157" customFormat="1" x14ac:dyDescent="0.25">
      <c r="A15" s="244"/>
      <c r="B15" s="694"/>
      <c r="C15" s="695"/>
      <c r="D15" s="695"/>
      <c r="E15" s="695"/>
      <c r="F15" s="695"/>
      <c r="G15" s="640"/>
      <c r="H15" s="710"/>
      <c r="I15" s="710"/>
      <c r="J15" s="710"/>
      <c r="K15" s="710"/>
      <c r="L15" s="711"/>
    </row>
    <row r="16" spans="1:22" s="157" customFormat="1" x14ac:dyDescent="0.25">
      <c r="A16" s="244"/>
      <c r="B16" s="694"/>
      <c r="C16" s="695"/>
      <c r="D16" s="695"/>
      <c r="E16" s="695"/>
      <c r="F16" s="695"/>
      <c r="G16" s="640"/>
      <c r="H16" s="710"/>
      <c r="I16" s="710"/>
      <c r="J16" s="710"/>
      <c r="K16" s="710"/>
      <c r="L16" s="711"/>
    </row>
    <row r="17" spans="1:16" s="157" customFormat="1" x14ac:dyDescent="0.25">
      <c r="A17" s="244"/>
      <c r="B17" s="207"/>
      <c r="C17" s="208"/>
      <c r="D17" s="208"/>
      <c r="E17" s="208"/>
      <c r="F17" s="208"/>
      <c r="G17" s="208"/>
      <c r="H17" s="208"/>
      <c r="I17" s="208"/>
      <c r="J17" s="208"/>
      <c r="K17" s="208"/>
      <c r="L17" s="209"/>
    </row>
    <row r="18" spans="1:16" s="10" customFormat="1" x14ac:dyDescent="0.25">
      <c r="A18" s="20"/>
      <c r="B18" s="29"/>
      <c r="C18" s="29"/>
      <c r="D18" s="30"/>
      <c r="E18" s="30"/>
      <c r="F18" s="30"/>
      <c r="G18" s="30"/>
      <c r="H18" s="30"/>
      <c r="I18" s="30"/>
      <c r="J18" s="30"/>
      <c r="K18" s="30"/>
      <c r="L18" s="30"/>
      <c r="O18" s="11"/>
      <c r="P18" s="11"/>
    </row>
    <row r="19" spans="1:16" s="9" customFormat="1" x14ac:dyDescent="0.25">
      <c r="A19" s="16"/>
      <c r="B19" s="678" t="s">
        <v>667</v>
      </c>
      <c r="C19" s="679"/>
      <c r="D19" s="679"/>
      <c r="E19" s="679"/>
      <c r="F19" s="679"/>
      <c r="G19" s="679"/>
      <c r="H19" s="679"/>
      <c r="I19" s="679"/>
      <c r="J19" s="679"/>
      <c r="K19" s="679"/>
      <c r="L19" s="680"/>
      <c r="M19" s="21"/>
      <c r="N19" s="21"/>
      <c r="O19" s="17"/>
      <c r="P19" s="17"/>
    </row>
    <row r="20" spans="1:16" s="12" customFormat="1" x14ac:dyDescent="0.25">
      <c r="A20" s="14"/>
      <c r="B20" s="31"/>
      <c r="C20" s="32"/>
      <c r="D20" s="33"/>
      <c r="E20" s="33"/>
      <c r="F20" s="33"/>
      <c r="G20" s="33"/>
      <c r="H20" s="33"/>
      <c r="I20" s="33"/>
      <c r="J20" s="33"/>
      <c r="K20" s="33"/>
      <c r="L20" s="34"/>
    </row>
    <row r="21" spans="1:16" s="12" customFormat="1" x14ac:dyDescent="0.25">
      <c r="A21" s="14"/>
      <c r="B21" s="654" t="s">
        <v>331</v>
      </c>
      <c r="C21" s="655"/>
      <c r="D21" s="655"/>
      <c r="E21" s="655"/>
      <c r="F21" s="655"/>
      <c r="G21" s="658" t="s">
        <v>170</v>
      </c>
      <c r="H21" s="656" t="s">
        <v>425</v>
      </c>
      <c r="I21" s="656"/>
      <c r="J21" s="656"/>
      <c r="K21" s="656"/>
      <c r="L21" s="657"/>
      <c r="O21" s="13"/>
    </row>
    <row r="22" spans="1:16" s="12" customFormat="1" x14ac:dyDescent="0.25">
      <c r="A22" s="14"/>
      <c r="B22" s="654"/>
      <c r="C22" s="655"/>
      <c r="D22" s="655"/>
      <c r="E22" s="655"/>
      <c r="F22" s="655"/>
      <c r="G22" s="659"/>
      <c r="H22" s="656"/>
      <c r="I22" s="656"/>
      <c r="J22" s="656"/>
      <c r="K22" s="656"/>
      <c r="L22" s="657"/>
      <c r="O22" s="13"/>
    </row>
    <row r="23" spans="1:16" s="157" customFormat="1" x14ac:dyDescent="0.25">
      <c r="A23" s="244"/>
      <c r="B23" s="207"/>
      <c r="C23" s="208"/>
      <c r="D23" s="208"/>
      <c r="E23" s="208"/>
      <c r="F23" s="208"/>
      <c r="G23" s="208"/>
      <c r="H23" s="208"/>
      <c r="I23" s="208"/>
      <c r="J23" s="208"/>
      <c r="K23" s="208"/>
      <c r="L23" s="209"/>
    </row>
    <row r="24" spans="1:16" s="10" customFormat="1" x14ac:dyDescent="0.25">
      <c r="A24" s="20"/>
      <c r="B24" s="29"/>
      <c r="C24" s="29"/>
      <c r="D24" s="30"/>
      <c r="E24" s="30"/>
      <c r="F24" s="30"/>
      <c r="G24" s="30"/>
      <c r="H24" s="30"/>
      <c r="I24" s="30"/>
      <c r="J24" s="30"/>
      <c r="K24" s="30"/>
      <c r="L24" s="30"/>
      <c r="O24" s="11"/>
      <c r="P24" s="11"/>
    </row>
    <row r="25" spans="1:16" s="9" customFormat="1" x14ac:dyDescent="0.25">
      <c r="A25" s="16"/>
      <c r="B25" s="703" t="str">
        <f>IF(Intro!$G$21="English",O25,P25)</f>
        <v>LA DÉFINITION "DES MARCHANDISES"</v>
      </c>
      <c r="C25" s="704" t="str">
        <f>UPPER(IF(Intro!$G$21="English",P25,Q25))</f>
        <v/>
      </c>
      <c r="D25" s="704" t="str">
        <f>UPPER(IF(Intro!$G$21="English",Q25,R25))</f>
        <v/>
      </c>
      <c r="E25" s="704" t="str">
        <f>UPPER(IF(Intro!$G$21="English",R25,S25))</f>
        <v/>
      </c>
      <c r="F25" s="704"/>
      <c r="G25" s="704" t="str">
        <f>UPPER(IF(Intro!$G$21="English",S25,T25))</f>
        <v/>
      </c>
      <c r="H25" s="704" t="str">
        <f>UPPER(IF(Intro!$G$21="English",T25,U25))</f>
        <v/>
      </c>
      <c r="I25" s="704" t="str">
        <f>UPPER(IF(Intro!$G$21="English",U25,V25))</f>
        <v/>
      </c>
      <c r="J25" s="704" t="str">
        <f>UPPER(IF(Intro!$G$21="English",V25,W25))</f>
        <v/>
      </c>
      <c r="K25" s="704" t="str">
        <f>UPPER(IF(Intro!$G$21="English",W25,X25))</f>
        <v/>
      </c>
      <c r="L25" s="705" t="str">
        <f>UPPER(IF(Intro!$G$21="English",X25,Y25))</f>
        <v/>
      </c>
      <c r="M25" s="10"/>
      <c r="N25" s="21"/>
      <c r="O25" s="251" t="s">
        <v>668</v>
      </c>
      <c r="P25" s="251" t="s">
        <v>669</v>
      </c>
    </row>
    <row r="26" spans="1:16" s="12" customFormat="1" x14ac:dyDescent="0.25">
      <c r="A26" s="14"/>
      <c r="B26" s="31"/>
      <c r="C26" s="32"/>
      <c r="D26" s="33"/>
      <c r="E26" s="33"/>
      <c r="F26" s="33"/>
      <c r="G26" s="33"/>
      <c r="H26" s="33"/>
      <c r="I26" s="33"/>
      <c r="J26" s="33"/>
      <c r="K26" s="33"/>
      <c r="L26" s="34"/>
    </row>
    <row r="27" spans="1:16" s="157" customFormat="1" x14ac:dyDescent="0.25">
      <c r="A27" s="244"/>
      <c r="B27" s="672" t="str">
        <f>IF(Intro!$G$21="English",O27,P27)</f>
        <v>Les références aux « marchandises » dans ce questionnaire font référence à :</v>
      </c>
      <c r="C27" s="673"/>
      <c r="D27" s="673"/>
      <c r="E27" s="673"/>
      <c r="F27" s="673"/>
      <c r="G27" s="673"/>
      <c r="H27" s="673"/>
      <c r="I27" s="673"/>
      <c r="J27" s="673"/>
      <c r="K27" s="673"/>
      <c r="L27" s="674"/>
      <c r="O27" s="157" t="s">
        <v>355</v>
      </c>
      <c r="P27" s="157" t="s">
        <v>356</v>
      </c>
    </row>
    <row r="28" spans="1:16" s="157" customFormat="1" x14ac:dyDescent="0.25">
      <c r="A28" s="244"/>
      <c r="B28" s="672"/>
      <c r="C28" s="673"/>
      <c r="D28" s="673"/>
      <c r="E28" s="673"/>
      <c r="F28" s="673"/>
      <c r="G28" s="673"/>
      <c r="H28" s="673"/>
      <c r="I28" s="673"/>
      <c r="J28" s="673"/>
      <c r="K28" s="673"/>
      <c r="L28" s="674"/>
    </row>
    <row r="29" spans="1:16" s="157" customFormat="1" x14ac:dyDescent="0.25">
      <c r="A29" s="244"/>
      <c r="B29" s="201"/>
      <c r="C29" s="660" t="str">
        <f>IF(Intro!$G$21="English",Variables!B16,Variables!C16)</f>
        <v>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v>
      </c>
      <c r="D29" s="661"/>
      <c r="E29" s="661"/>
      <c r="F29" s="661"/>
      <c r="G29" s="661"/>
      <c r="H29" s="661"/>
      <c r="I29" s="661"/>
      <c r="J29" s="661"/>
      <c r="K29" s="662"/>
      <c r="L29" s="189"/>
    </row>
    <row r="30" spans="1:16" s="157" customFormat="1" x14ac:dyDescent="0.25">
      <c r="A30" s="244"/>
      <c r="B30" s="201"/>
      <c r="C30" s="663"/>
      <c r="D30" s="664"/>
      <c r="E30" s="664"/>
      <c r="F30" s="664"/>
      <c r="G30" s="664"/>
      <c r="H30" s="664"/>
      <c r="I30" s="664"/>
      <c r="J30" s="664"/>
      <c r="K30" s="665"/>
      <c r="L30" s="265"/>
    </row>
    <row r="31" spans="1:16" s="157" customFormat="1" x14ac:dyDescent="0.25">
      <c r="A31" s="244"/>
      <c r="B31" s="201"/>
      <c r="C31" s="663"/>
      <c r="D31" s="664"/>
      <c r="E31" s="664"/>
      <c r="F31" s="664"/>
      <c r="G31" s="664"/>
      <c r="H31" s="664"/>
      <c r="I31" s="664"/>
      <c r="J31" s="664"/>
      <c r="K31" s="665"/>
      <c r="L31" s="265"/>
    </row>
    <row r="32" spans="1:16" s="157" customFormat="1" x14ac:dyDescent="0.25">
      <c r="A32" s="244"/>
      <c r="B32" s="201"/>
      <c r="C32" s="666"/>
      <c r="D32" s="667"/>
      <c r="E32" s="667"/>
      <c r="F32" s="667"/>
      <c r="G32" s="667"/>
      <c r="H32" s="667"/>
      <c r="I32" s="667"/>
      <c r="J32" s="667"/>
      <c r="K32" s="668"/>
      <c r="L32" s="265"/>
    </row>
    <row r="33" spans="1:16" s="157" customFormat="1" x14ac:dyDescent="0.25">
      <c r="A33" s="244"/>
      <c r="B33" s="672"/>
      <c r="C33" s="673"/>
      <c r="D33" s="673"/>
      <c r="E33" s="673"/>
      <c r="F33" s="673"/>
      <c r="G33" s="673"/>
      <c r="H33" s="673"/>
      <c r="I33" s="673"/>
      <c r="J33" s="673"/>
      <c r="K33" s="673"/>
      <c r="L33" s="674"/>
    </row>
    <row r="34" spans="1:16" s="157" customFormat="1" ht="42.75" x14ac:dyDescent="0.25">
      <c r="A34" s="244" t="s">
        <v>909</v>
      </c>
      <c r="B34" s="694" t="str">
        <f>IF(Intro!$G$21="English",O34,P34)</f>
        <v>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v>
      </c>
      <c r="C34" s="695"/>
      <c r="D34" s="695"/>
      <c r="E34" s="695"/>
      <c r="F34" s="695"/>
      <c r="G34" s="695"/>
      <c r="H34" s="695"/>
      <c r="I34" s="695"/>
      <c r="J34" s="695"/>
      <c r="K34" s="695"/>
      <c r="L34" s="696"/>
      <c r="O34" s="156" t="s">
        <v>907</v>
      </c>
      <c r="P34" s="627" t="s">
        <v>908</v>
      </c>
    </row>
    <row r="35" spans="1:16" s="157" customFormat="1" x14ac:dyDescent="0.25">
      <c r="A35" s="244"/>
      <c r="B35" s="207"/>
      <c r="C35" s="208"/>
      <c r="D35" s="208"/>
      <c r="E35" s="208"/>
      <c r="F35" s="208"/>
      <c r="G35" s="208"/>
      <c r="H35" s="208"/>
      <c r="I35" s="208"/>
      <c r="J35" s="208"/>
      <c r="K35" s="208"/>
      <c r="L35" s="209"/>
    </row>
    <row r="36" spans="1:16" s="10" customFormat="1" x14ac:dyDescent="0.25">
      <c r="A36" s="20"/>
      <c r="B36" s="29"/>
      <c r="C36" s="29"/>
      <c r="D36" s="30"/>
      <c r="E36" s="30"/>
      <c r="F36" s="30"/>
      <c r="G36" s="30"/>
      <c r="H36" s="30"/>
      <c r="I36" s="30"/>
      <c r="J36" s="30"/>
      <c r="K36" s="30"/>
      <c r="L36" s="30"/>
      <c r="O36" s="11"/>
      <c r="P36" s="11"/>
    </row>
    <row r="37" spans="1:16" s="9" customFormat="1" x14ac:dyDescent="0.25">
      <c r="A37" s="16"/>
      <c r="B37" s="678" t="str">
        <f>IF(Intro!$G$21="English",O37,P37)</f>
        <v>DEVEZ-VOUS REMPLIR CE QUESTIONNAIRE?</v>
      </c>
      <c r="C37" s="679"/>
      <c r="D37" s="679"/>
      <c r="E37" s="679"/>
      <c r="F37" s="679"/>
      <c r="G37" s="679"/>
      <c r="H37" s="679"/>
      <c r="I37" s="679"/>
      <c r="J37" s="679"/>
      <c r="K37" s="679"/>
      <c r="L37" s="680"/>
      <c r="M37" s="21"/>
      <c r="N37" s="21"/>
      <c r="O37" s="168" t="s">
        <v>670</v>
      </c>
      <c r="P37" s="168" t="s">
        <v>746</v>
      </c>
    </row>
    <row r="38" spans="1:16" s="12" customFormat="1" x14ac:dyDescent="0.25">
      <c r="A38" s="14"/>
      <c r="B38" s="31"/>
      <c r="C38" s="32"/>
      <c r="D38" s="33"/>
      <c r="E38" s="33"/>
      <c r="F38" s="33"/>
      <c r="G38" s="33"/>
      <c r="H38" s="33"/>
      <c r="I38" s="33"/>
      <c r="J38" s="33"/>
      <c r="K38" s="33"/>
      <c r="L38" s="34"/>
    </row>
    <row r="39" spans="1:16" s="157" customFormat="1" x14ac:dyDescent="0.25">
      <c r="A39" s="244"/>
      <c r="B39" s="672" t="str">
        <f>IF(Intro!$G$21="English",O39,P39)</f>
        <v>Précisez les activités de votre entreprise relatives aux marchandises définies ci-dessus, du 1er janvier 2022 au 30 septembre, 2025:</v>
      </c>
      <c r="C39" s="673"/>
      <c r="D39" s="673"/>
      <c r="E39" s="673"/>
      <c r="F39" s="673"/>
      <c r="G39" s="673"/>
      <c r="H39" s="673"/>
      <c r="I39" s="673"/>
      <c r="J39" s="673"/>
      <c r="K39" s="673"/>
      <c r="L39" s="674"/>
      <c r="O39" s="157" t="str">
        <f>"Specify your firm’s activities with respect to the goods defined above from January 1, "&amp;Variables!B6&amp;" to "&amp;Variables!B7&amp;", "&amp;Variables!B8&amp;":"</f>
        <v>Specify your firm’s activities with respect to the goods defined above from January 1, 2022 to September 30, 2025:</v>
      </c>
      <c r="P39" s="157" t="str">
        <f>"Précisez les activités de votre entreprise relatives aux marchandises définies ci-dessus, du 1er janvier "&amp;Variables!C6&amp;" au "&amp;Variables!C7&amp;", "&amp;Variables!C8&amp;":"</f>
        <v>Précisez les activités de votre entreprise relatives aux marchandises définies ci-dessus, du 1er janvier 2022 au 30 septembre, 2025:</v>
      </c>
    </row>
    <row r="40" spans="1:16" s="157" customFormat="1" x14ac:dyDescent="0.25">
      <c r="A40" s="244"/>
      <c r="B40" s="201"/>
      <c r="C40" s="202"/>
      <c r="D40" s="202"/>
      <c r="E40" s="202"/>
      <c r="F40" s="202"/>
      <c r="G40" s="202"/>
      <c r="H40" s="202"/>
      <c r="I40" s="202"/>
      <c r="J40" s="202"/>
      <c r="K40" s="202"/>
      <c r="L40" s="203"/>
    </row>
    <row r="41" spans="1:16" s="157" customFormat="1" x14ac:dyDescent="0.25">
      <c r="A41" s="244"/>
      <c r="B41" s="201"/>
      <c r="C41" s="202"/>
      <c r="D41" s="675" t="str">
        <f>IF(Intro!$G$21="English",O41,P41)</f>
        <v>Selectionnez oui ou non</v>
      </c>
      <c r="E41" s="675"/>
      <c r="F41" s="676" t="s">
        <v>671</v>
      </c>
      <c r="G41" s="676"/>
      <c r="H41" s="676"/>
      <c r="I41" s="676"/>
      <c r="J41" s="676"/>
      <c r="K41" s="676"/>
      <c r="L41" s="677"/>
      <c r="O41" s="157" t="s">
        <v>379</v>
      </c>
      <c r="P41" s="157" t="s">
        <v>605</v>
      </c>
    </row>
    <row r="42" spans="1:16" s="12" customFormat="1" x14ac:dyDescent="0.25">
      <c r="A42" s="14"/>
      <c r="B42" s="650" t="str">
        <f>IF(Intro!$G$21="English",O42,P42)</f>
        <v>Produit les marchandises</v>
      </c>
      <c r="C42" s="651"/>
      <c r="D42" s="669"/>
      <c r="E42" s="669"/>
      <c r="F42" s="670" t="str">
        <f>IF(D42="Yes",O43,IF(D42="Oui",P43,IF(D42="No",O44,IF(D42="Non",P44,""))))</f>
        <v/>
      </c>
      <c r="G42" s="670"/>
      <c r="H42" s="670"/>
      <c r="I42" s="670"/>
      <c r="J42" s="670"/>
      <c r="K42" s="670"/>
      <c r="L42" s="671"/>
      <c r="O42" s="13" t="s">
        <v>612</v>
      </c>
      <c r="P42" s="12" t="s">
        <v>613</v>
      </c>
    </row>
    <row r="43" spans="1:16" s="12" customFormat="1" x14ac:dyDescent="0.25">
      <c r="A43" s="14"/>
      <c r="B43" s="650"/>
      <c r="C43" s="651"/>
      <c r="D43" s="669"/>
      <c r="E43" s="669"/>
      <c r="F43" s="670"/>
      <c r="G43" s="670"/>
      <c r="H43" s="670"/>
      <c r="I43" s="670"/>
      <c r="J43" s="670"/>
      <c r="K43" s="670"/>
      <c r="L43" s="671"/>
      <c r="O43" s="12" t="str">
        <f>"Complete all tabs in this questionnaire and submit it by "&amp;Variables!B11&amp;"."</f>
        <v>Complete all tabs in this questionnaire and submit it by March 23, 2026.</v>
      </c>
      <c r="P43" s="12" t="str">
        <f>"Remplissez tous les onglets de ce questionnaire et soumettez-le avant le "&amp;Variables!C11&amp;"."</f>
        <v>Remplissez tous les onglets de ce questionnaire et soumettez-le avant le le 23 mars 2026.</v>
      </c>
    </row>
    <row r="44" spans="1:16" s="12" customFormat="1" x14ac:dyDescent="0.25">
      <c r="A44" s="14"/>
      <c r="B44" s="650" t="str">
        <f>IF(Intro!$G$21="English",O45,P45)</f>
        <v>Importé les marchandises de n’importe quel pays en tant qu’importateur officiel</v>
      </c>
      <c r="C44" s="651"/>
      <c r="D44" s="669"/>
      <c r="E44" s="669"/>
      <c r="F44" s="670" t="str">
        <f>IF(D44="Yes",O46,IF(D44="Oui",P46,IF(D44="No",O47,IF(D44="Non",P47,""))))</f>
        <v/>
      </c>
      <c r="G44" s="670"/>
      <c r="H44" s="670"/>
      <c r="I44" s="670"/>
      <c r="J44" s="670"/>
      <c r="K44" s="670"/>
      <c r="L44" s="671"/>
      <c r="O44" s="12" t="str">
        <f>"Explain below. Complete this tab only and submit it by "&amp;Variables!B11&amp;"."</f>
        <v>Explain below. Complete this tab only and submit it by March 23, 2026.</v>
      </c>
      <c r="P44" s="12" t="str">
        <f>"Expliquez ci-dessous. Remplissez uniquement cet onglet et soumettez-le avant le "&amp;Variables!C11&amp;"."</f>
        <v>Expliquez ci-dessous. Remplissez uniquement cet onglet et soumettez-le avant le le 23 mars 2026.</v>
      </c>
    </row>
    <row r="45" spans="1:16" s="12" customFormat="1" x14ac:dyDescent="0.25">
      <c r="A45" s="14"/>
      <c r="B45" s="650"/>
      <c r="C45" s="651"/>
      <c r="D45" s="669"/>
      <c r="E45" s="669"/>
      <c r="F45" s="670"/>
      <c r="G45" s="670"/>
      <c r="H45" s="670"/>
      <c r="I45" s="670"/>
      <c r="J45" s="670"/>
      <c r="K45" s="670"/>
      <c r="L45" s="671"/>
      <c r="O45" s="13" t="s">
        <v>614</v>
      </c>
      <c r="P45" s="12" t="s">
        <v>615</v>
      </c>
    </row>
    <row r="46" spans="1:16" s="12" customFormat="1" x14ac:dyDescent="0.25">
      <c r="A46" s="14"/>
      <c r="B46" s="650"/>
      <c r="C46" s="651"/>
      <c r="D46" s="669"/>
      <c r="E46" s="669"/>
      <c r="F46" s="670"/>
      <c r="G46" s="670"/>
      <c r="H46" s="670"/>
      <c r="I46" s="670"/>
      <c r="J46" s="670"/>
      <c r="K46" s="670"/>
      <c r="L46" s="671"/>
      <c r="O46" s="12"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March 23, 2026. If completing both an Importers’ and Producers’ questionnaire, it is not necessary to respond twice to questions that are repeated in both questionnaires.</v>
      </c>
      <c r="P46" s="12"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le 23 mars 2026. Si vous remplissez à la fois un questionnaire à l'intention des importateurs et un autre à l'intention des producteurs, il n’est pas nécessaire de répondre deux fois aux questions qui se répètent dans les deux questionnaires.</v>
      </c>
    </row>
    <row r="47" spans="1:16" s="12" customFormat="1" x14ac:dyDescent="0.25">
      <c r="A47" s="14"/>
      <c r="B47" s="650"/>
      <c r="C47" s="651"/>
      <c r="D47" s="669"/>
      <c r="E47" s="669"/>
      <c r="F47" s="670"/>
      <c r="G47" s="670"/>
      <c r="H47" s="670"/>
      <c r="I47" s="670"/>
      <c r="J47" s="670"/>
      <c r="K47" s="670"/>
      <c r="L47" s="671"/>
      <c r="O47" s="12" t="s">
        <v>672</v>
      </c>
      <c r="P47" s="12" t="s">
        <v>672</v>
      </c>
    </row>
    <row r="48" spans="1:16" s="156" customFormat="1" x14ac:dyDescent="0.25">
      <c r="A48" s="46"/>
      <c r="B48" s="171"/>
      <c r="C48" s="172"/>
      <c r="D48" s="173"/>
      <c r="E48" s="173"/>
      <c r="F48" s="173"/>
      <c r="G48" s="173"/>
      <c r="H48" s="173"/>
      <c r="I48" s="173"/>
      <c r="J48" s="173"/>
      <c r="K48" s="173"/>
      <c r="L48" s="174"/>
    </row>
    <row r="49" spans="1:16" s="156" customFormat="1" x14ac:dyDescent="0.25">
      <c r="A49" s="46"/>
      <c r="B49" s="712" t="str">
        <f>IF(Intro!$G$21="English",O50,P50)</f>
        <v>Si non, expliquez.</v>
      </c>
      <c r="C49" s="713"/>
      <c r="D49" s="713"/>
      <c r="E49" s="713"/>
      <c r="F49" s="713"/>
      <c r="G49" s="713"/>
      <c r="H49" s="713"/>
      <c r="I49" s="713"/>
      <c r="J49" s="713"/>
      <c r="K49" s="713"/>
      <c r="L49" s="714"/>
    </row>
    <row r="50" spans="1:16" s="156" customFormat="1" x14ac:dyDescent="0.25">
      <c r="A50" s="46"/>
      <c r="B50" s="171"/>
      <c r="C50" s="172"/>
      <c r="D50" s="173"/>
      <c r="E50" s="173"/>
      <c r="F50" s="173"/>
      <c r="G50" s="173"/>
      <c r="H50" s="173"/>
      <c r="I50" s="173"/>
      <c r="J50" s="173"/>
      <c r="K50" s="173"/>
      <c r="L50" s="174"/>
      <c r="O50" s="170" t="s">
        <v>610</v>
      </c>
      <c r="P50" s="156" t="s">
        <v>611</v>
      </c>
    </row>
    <row r="51" spans="1:16" s="156" customFormat="1" x14ac:dyDescent="0.25">
      <c r="A51" s="46"/>
      <c r="B51" s="706"/>
      <c r="C51" s="707"/>
      <c r="D51" s="707"/>
      <c r="E51" s="707"/>
      <c r="F51" s="707"/>
      <c r="G51" s="707"/>
      <c r="H51" s="707"/>
      <c r="I51" s="707"/>
      <c r="J51" s="707"/>
      <c r="K51" s="707"/>
      <c r="L51" s="708"/>
    </row>
    <row r="52" spans="1:16" s="156" customFormat="1" x14ac:dyDescent="0.25">
      <c r="A52" s="46"/>
      <c r="B52" s="706"/>
      <c r="C52" s="707"/>
      <c r="D52" s="707"/>
      <c r="E52" s="707"/>
      <c r="F52" s="707"/>
      <c r="G52" s="707"/>
      <c r="H52" s="707"/>
      <c r="I52" s="707"/>
      <c r="J52" s="707"/>
      <c r="K52" s="707"/>
      <c r="L52" s="708"/>
    </row>
    <row r="53" spans="1:16" s="156" customFormat="1" x14ac:dyDescent="0.25">
      <c r="A53" s="46"/>
      <c r="B53" s="706"/>
      <c r="C53" s="707"/>
      <c r="D53" s="707"/>
      <c r="E53" s="707"/>
      <c r="F53" s="707"/>
      <c r="G53" s="707"/>
      <c r="H53" s="707"/>
      <c r="I53" s="707"/>
      <c r="J53" s="707"/>
      <c r="K53" s="707"/>
      <c r="L53" s="708"/>
    </row>
    <row r="54" spans="1:16" s="156" customFormat="1" x14ac:dyDescent="0.25">
      <c r="A54" s="46"/>
      <c r="B54" s="706"/>
      <c r="C54" s="707"/>
      <c r="D54" s="707"/>
      <c r="E54" s="707"/>
      <c r="F54" s="707"/>
      <c r="G54" s="707"/>
      <c r="H54" s="707"/>
      <c r="I54" s="707"/>
      <c r="J54" s="707"/>
      <c r="K54" s="707"/>
      <c r="L54" s="708"/>
    </row>
    <row r="55" spans="1:16" s="156" customFormat="1" x14ac:dyDescent="0.25">
      <c r="A55" s="46"/>
      <c r="B55" s="706"/>
      <c r="C55" s="707"/>
      <c r="D55" s="707"/>
      <c r="E55" s="707"/>
      <c r="F55" s="707"/>
      <c r="G55" s="707"/>
      <c r="H55" s="707"/>
      <c r="I55" s="707"/>
      <c r="J55" s="707"/>
      <c r="K55" s="707"/>
      <c r="L55" s="708"/>
    </row>
    <row r="56" spans="1:16" s="156" customFormat="1" x14ac:dyDescent="0.25">
      <c r="A56" s="46"/>
      <c r="B56" s="706"/>
      <c r="C56" s="707"/>
      <c r="D56" s="707"/>
      <c r="E56" s="707"/>
      <c r="F56" s="707"/>
      <c r="G56" s="707"/>
      <c r="H56" s="707"/>
      <c r="I56" s="707"/>
      <c r="J56" s="707"/>
      <c r="K56" s="707"/>
      <c r="L56" s="708"/>
    </row>
    <row r="57" spans="1:16" s="156" customFormat="1" x14ac:dyDescent="0.25">
      <c r="A57" s="46"/>
      <c r="B57" s="706"/>
      <c r="C57" s="707"/>
      <c r="D57" s="707"/>
      <c r="E57" s="707"/>
      <c r="F57" s="707"/>
      <c r="G57" s="707"/>
      <c r="H57" s="707"/>
      <c r="I57" s="707"/>
      <c r="J57" s="707"/>
      <c r="K57" s="707"/>
      <c r="L57" s="708"/>
    </row>
    <row r="58" spans="1:16" s="156" customFormat="1" x14ac:dyDescent="0.25">
      <c r="A58" s="46"/>
      <c r="B58" s="706"/>
      <c r="C58" s="707"/>
      <c r="D58" s="707"/>
      <c r="E58" s="707"/>
      <c r="F58" s="707"/>
      <c r="G58" s="707"/>
      <c r="H58" s="707"/>
      <c r="I58" s="707"/>
      <c r="J58" s="707"/>
      <c r="K58" s="707"/>
      <c r="L58" s="708"/>
    </row>
    <row r="59" spans="1:16" s="156" customFormat="1" x14ac:dyDescent="0.25">
      <c r="A59" s="46"/>
      <c r="B59" s="706"/>
      <c r="C59" s="707"/>
      <c r="D59" s="707"/>
      <c r="E59" s="707"/>
      <c r="F59" s="707"/>
      <c r="G59" s="707"/>
      <c r="H59" s="707"/>
      <c r="I59" s="707"/>
      <c r="J59" s="707"/>
      <c r="K59" s="707"/>
      <c r="L59" s="708"/>
    </row>
    <row r="60" spans="1:16" s="156" customFormat="1" x14ac:dyDescent="0.25">
      <c r="A60" s="46"/>
      <c r="B60" s="706"/>
      <c r="C60" s="707"/>
      <c r="D60" s="707"/>
      <c r="E60" s="707"/>
      <c r="F60" s="707"/>
      <c r="G60" s="707"/>
      <c r="H60" s="707"/>
      <c r="I60" s="707"/>
      <c r="J60" s="707"/>
      <c r="K60" s="707"/>
      <c r="L60" s="708"/>
    </row>
    <row r="61" spans="1:16" s="157" customFormat="1" x14ac:dyDescent="0.25">
      <c r="A61" s="244"/>
      <c r="B61" s="207"/>
      <c r="C61" s="208"/>
      <c r="D61" s="208"/>
      <c r="E61" s="208"/>
      <c r="F61" s="208"/>
      <c r="G61" s="208"/>
      <c r="H61" s="208"/>
      <c r="I61" s="208"/>
      <c r="J61" s="208"/>
      <c r="K61" s="208"/>
      <c r="L61" s="209"/>
    </row>
    <row r="62" spans="1:16" s="10" customFormat="1" x14ac:dyDescent="0.25">
      <c r="A62" s="20"/>
      <c r="B62" s="29"/>
      <c r="C62" s="29"/>
      <c r="D62" s="30"/>
      <c r="E62" s="30"/>
      <c r="F62" s="30"/>
      <c r="G62" s="30"/>
      <c r="H62" s="30"/>
      <c r="I62" s="30"/>
      <c r="J62" s="30"/>
      <c r="K62" s="30"/>
      <c r="L62" s="30"/>
      <c r="O62" s="11"/>
      <c r="P62" s="11"/>
    </row>
    <row r="63" spans="1:16" s="9" customFormat="1" x14ac:dyDescent="0.25">
      <c r="A63" s="16"/>
      <c r="B63" s="703" t="str">
        <f>IF(Intro!$G$21="English",O63,P63)</f>
        <v>DATE D’ÉCHÉANCE DU QUESTIONNAIRE</v>
      </c>
      <c r="C63" s="704" t="str">
        <f>UPPER(IF(Intro!$G$21="English",P63,Q63))</f>
        <v/>
      </c>
      <c r="D63" s="704" t="str">
        <f>UPPER(IF(Intro!$G$21="English",Q63,R63))</f>
        <v/>
      </c>
      <c r="E63" s="704" t="str">
        <f>UPPER(IF(Intro!$G$21="English",R63,S63))</f>
        <v/>
      </c>
      <c r="F63" s="704"/>
      <c r="G63" s="704" t="str">
        <f>UPPER(IF(Intro!$G$21="English",S63,T63))</f>
        <v/>
      </c>
      <c r="H63" s="704" t="str">
        <f>UPPER(IF(Intro!$G$21="English",T63,U63))</f>
        <v/>
      </c>
      <c r="I63" s="704" t="str">
        <f>UPPER(IF(Intro!$G$21="English",U63,V63))</f>
        <v/>
      </c>
      <c r="J63" s="704" t="str">
        <f>UPPER(IF(Intro!$G$21="English",V63,W63))</f>
        <v/>
      </c>
      <c r="K63" s="704" t="str">
        <f>UPPER(IF(Intro!$G$21="English",W63,X63))</f>
        <v/>
      </c>
      <c r="L63" s="705" t="str">
        <f>UPPER(IF(Intro!$G$21="English",X63,Y63))</f>
        <v/>
      </c>
      <c r="M63" s="10"/>
      <c r="N63" s="21"/>
      <c r="O63" s="17" t="s">
        <v>1</v>
      </c>
      <c r="P63" s="17" t="s">
        <v>421</v>
      </c>
    </row>
    <row r="64" spans="1:16" s="12" customFormat="1" x14ac:dyDescent="0.25">
      <c r="A64" s="14"/>
      <c r="B64" s="31"/>
      <c r="C64" s="32"/>
      <c r="D64" s="33"/>
      <c r="E64" s="33"/>
      <c r="F64" s="33"/>
      <c r="G64" s="33"/>
      <c r="H64" s="33"/>
      <c r="I64" s="33"/>
      <c r="J64" s="33"/>
      <c r="K64" s="33"/>
      <c r="L64" s="34"/>
    </row>
    <row r="65" spans="1:16" s="157" customFormat="1" x14ac:dyDescent="0.25">
      <c r="A65" s="244"/>
      <c r="B65" s="201"/>
      <c r="D65" s="697" t="str">
        <f>IF(Intro!$G$21="English",Variables!B11,Variables!C11)</f>
        <v>le 23 mars 2026</v>
      </c>
      <c r="E65" s="698"/>
      <c r="F65" s="698"/>
      <c r="G65" s="698"/>
      <c r="H65" s="698"/>
      <c r="I65" s="698"/>
      <c r="J65" s="699"/>
      <c r="K65" s="33"/>
      <c r="L65" s="245"/>
      <c r="O65" s="169"/>
      <c r="P65" s="169"/>
    </row>
    <row r="66" spans="1:16" s="157" customFormat="1" x14ac:dyDescent="0.25">
      <c r="A66" s="244"/>
      <c r="B66" s="201"/>
      <c r="D66" s="700"/>
      <c r="E66" s="701"/>
      <c r="F66" s="701"/>
      <c r="G66" s="701"/>
      <c r="H66" s="701"/>
      <c r="I66" s="701"/>
      <c r="J66" s="702"/>
      <c r="K66" s="33"/>
      <c r="L66" s="245"/>
      <c r="O66" s="169"/>
      <c r="P66" s="169"/>
    </row>
    <row r="67" spans="1:16" s="157" customFormat="1" x14ac:dyDescent="0.25">
      <c r="A67" s="244"/>
      <c r="B67" s="207"/>
      <c r="C67" s="208"/>
      <c r="D67" s="208"/>
      <c r="E67" s="208"/>
      <c r="F67" s="208"/>
      <c r="G67" s="208"/>
      <c r="H67" s="208"/>
      <c r="I67" s="208"/>
      <c r="J67" s="208"/>
      <c r="K67" s="208"/>
      <c r="L67" s="209"/>
    </row>
    <row r="68" spans="1:16" s="10" customFormat="1" x14ac:dyDescent="0.25">
      <c r="A68" s="20"/>
      <c r="B68" s="29"/>
      <c r="C68" s="29"/>
      <c r="D68" s="30"/>
      <c r="E68" s="30"/>
      <c r="F68" s="30"/>
      <c r="G68" s="30"/>
      <c r="H68" s="30"/>
      <c r="I68" s="30"/>
      <c r="J68" s="30"/>
      <c r="K68" s="30"/>
      <c r="L68" s="30"/>
      <c r="O68" s="11"/>
      <c r="P68" s="11"/>
    </row>
    <row r="69" spans="1:16" s="9" customFormat="1" x14ac:dyDescent="0.25">
      <c r="A69" s="16"/>
      <c r="B69" s="703" t="str">
        <f>IF(Intro!$G$21="English",O69,P69)</f>
        <v>QUESTIONNAIRE NON REMPLI</v>
      </c>
      <c r="C69" s="704" t="str">
        <f>UPPER(IF(Intro!$G$21="English",P69,Q69))</f>
        <v/>
      </c>
      <c r="D69" s="704" t="str">
        <f>UPPER(IF(Intro!$G$21="English",Q69,R69))</f>
        <v/>
      </c>
      <c r="E69" s="704" t="str">
        <f>UPPER(IF(Intro!$G$21="English",R69,S69))</f>
        <v/>
      </c>
      <c r="F69" s="704"/>
      <c r="G69" s="704" t="str">
        <f>UPPER(IF(Intro!$G$21="English",S69,T69))</f>
        <v/>
      </c>
      <c r="H69" s="704" t="str">
        <f>UPPER(IF(Intro!$G$21="English",T69,U69))</f>
        <v/>
      </c>
      <c r="I69" s="704" t="str">
        <f>UPPER(IF(Intro!$G$21="English",U69,V69))</f>
        <v/>
      </c>
      <c r="J69" s="704" t="str">
        <f>UPPER(IF(Intro!$G$21="English",V69,W69))</f>
        <v/>
      </c>
      <c r="K69" s="704" t="str">
        <f>UPPER(IF(Intro!$G$21="English",W69,X69))</f>
        <v/>
      </c>
      <c r="L69" s="705" t="str">
        <f>UPPER(IF(Intro!$G$21="English",X69,Y69))</f>
        <v/>
      </c>
      <c r="M69" s="10"/>
      <c r="N69" s="21"/>
      <c r="O69" s="251" t="s">
        <v>673</v>
      </c>
      <c r="P69" s="251" t="s">
        <v>674</v>
      </c>
    </row>
    <row r="70" spans="1:16" s="12" customFormat="1" x14ac:dyDescent="0.25">
      <c r="A70" s="14"/>
      <c r="B70" s="31"/>
      <c r="C70" s="32"/>
      <c r="D70" s="33"/>
      <c r="E70" s="33"/>
      <c r="F70" s="33"/>
      <c r="G70" s="33"/>
      <c r="H70" s="33"/>
      <c r="I70" s="33"/>
      <c r="J70" s="33"/>
      <c r="K70" s="33"/>
      <c r="L70" s="34"/>
    </row>
    <row r="71" spans="1:16" s="157" customFormat="1" x14ac:dyDescent="0.25">
      <c r="A71" s="244"/>
      <c r="B71" s="672" t="str">
        <f>IF(Intro!$G$21="English",O71,P71)</f>
        <v>Si le questionnaire n’est pas rempli dans les délais impartis, le Tribunal peut rendre une ordonnance de production, aux termes de l’article  17 de la Loi sur le Tribunal canadien du commerce extérieur, afin d’exiger la production d’une réponse au questionnaire.</v>
      </c>
      <c r="C71" s="673"/>
      <c r="D71" s="673"/>
      <c r="E71" s="673"/>
      <c r="F71" s="673"/>
      <c r="G71" s="673"/>
      <c r="H71" s="673"/>
      <c r="I71" s="673"/>
      <c r="J71" s="673"/>
      <c r="K71" s="673"/>
      <c r="L71" s="674"/>
      <c r="O71" s="157" t="s">
        <v>333</v>
      </c>
      <c r="P71" s="157" t="s">
        <v>424</v>
      </c>
    </row>
    <row r="72" spans="1:16" s="157" customFormat="1" x14ac:dyDescent="0.25">
      <c r="A72" s="244"/>
      <c r="B72" s="672"/>
      <c r="C72" s="673"/>
      <c r="D72" s="673"/>
      <c r="E72" s="673"/>
      <c r="F72" s="673"/>
      <c r="G72" s="673"/>
      <c r="H72" s="673"/>
      <c r="I72" s="673"/>
      <c r="J72" s="673"/>
      <c r="K72" s="673"/>
      <c r="L72" s="674"/>
    </row>
    <row r="73" spans="1:16" s="157" customFormat="1" x14ac:dyDescent="0.25">
      <c r="A73" s="244"/>
      <c r="B73" s="207"/>
      <c r="C73" s="208"/>
      <c r="D73" s="208"/>
      <c r="E73" s="208"/>
      <c r="F73" s="208"/>
      <c r="G73" s="208"/>
      <c r="H73" s="208"/>
      <c r="I73" s="208"/>
      <c r="J73" s="208"/>
      <c r="K73" s="208"/>
      <c r="L73" s="209"/>
    </row>
    <row r="74" spans="1:16" s="10" customFormat="1" x14ac:dyDescent="0.25">
      <c r="A74" s="20"/>
      <c r="B74" s="29"/>
      <c r="C74" s="29"/>
      <c r="D74" s="30"/>
      <c r="E74" s="30"/>
      <c r="F74" s="30"/>
      <c r="G74" s="30"/>
      <c r="H74" s="30"/>
      <c r="I74" s="30"/>
      <c r="J74" s="30"/>
      <c r="K74" s="30"/>
      <c r="L74" s="30"/>
      <c r="O74" s="11"/>
      <c r="P74" s="11"/>
    </row>
    <row r="75" spans="1:16" x14ac:dyDescent="0.25">
      <c r="B75" s="678" t="str">
        <f>IF(Intro!$G$21="English",O75,P75)</f>
        <v>RENSEIGNEMENTS SUR L’ENTREPRISE</v>
      </c>
      <c r="C75" s="679"/>
      <c r="D75" s="679"/>
      <c r="E75" s="679"/>
      <c r="F75" s="679"/>
      <c r="G75" s="679"/>
      <c r="H75" s="679"/>
      <c r="I75" s="679"/>
      <c r="J75" s="679"/>
      <c r="K75" s="679"/>
      <c r="L75" s="680"/>
      <c r="M75" s="157"/>
      <c r="O75" s="2" t="s">
        <v>5</v>
      </c>
      <c r="P75" s="2" t="s">
        <v>6</v>
      </c>
    </row>
    <row r="76" spans="1:16" s="12" customFormat="1" x14ac:dyDescent="0.25">
      <c r="A76" s="14"/>
      <c r="B76" s="31"/>
      <c r="C76" s="32"/>
      <c r="D76" s="33"/>
      <c r="E76" s="33"/>
      <c r="F76" s="33"/>
      <c r="G76" s="33"/>
      <c r="H76" s="33"/>
      <c r="I76" s="33"/>
      <c r="J76" s="33"/>
      <c r="K76" s="33"/>
      <c r="L76" s="34"/>
    </row>
    <row r="77" spans="1:16" s="12" customFormat="1" x14ac:dyDescent="0.25">
      <c r="A77" s="14"/>
      <c r="B77" s="650" t="str">
        <f>IF(Intro!$G$21="English",O77,P77)</f>
        <v>Dénomination sociale (en français et en anglais, le cas échéant)</v>
      </c>
      <c r="C77" s="651"/>
      <c r="D77" s="651"/>
      <c r="E77" s="652"/>
      <c r="F77" s="652"/>
      <c r="G77" s="652"/>
      <c r="H77" s="652"/>
      <c r="I77" s="652"/>
      <c r="J77" s="652"/>
      <c r="K77" s="652"/>
      <c r="L77" s="653"/>
      <c r="O77" s="13" t="s">
        <v>417</v>
      </c>
      <c r="P77" s="12" t="s">
        <v>418</v>
      </c>
    </row>
    <row r="78" spans="1:16" s="12" customFormat="1" x14ac:dyDescent="0.25">
      <c r="A78" s="14"/>
      <c r="B78" s="650"/>
      <c r="C78" s="651"/>
      <c r="D78" s="651"/>
      <c r="E78" s="652"/>
      <c r="F78" s="652"/>
      <c r="G78" s="652"/>
      <c r="H78" s="652"/>
      <c r="I78" s="652"/>
      <c r="J78" s="652"/>
      <c r="K78" s="652"/>
      <c r="L78" s="653"/>
      <c r="O78" s="13"/>
    </row>
    <row r="79" spans="1:16" s="12" customFormat="1" x14ac:dyDescent="0.25">
      <c r="A79" s="14"/>
      <c r="B79" s="650" t="str">
        <f>IF(Intro!$G$21="English",O79,P79)</f>
        <v>Adresse de l’entreprise</v>
      </c>
      <c r="C79" s="651"/>
      <c r="D79" s="651"/>
      <c r="E79" s="652"/>
      <c r="F79" s="652"/>
      <c r="G79" s="652"/>
      <c r="H79" s="652"/>
      <c r="I79" s="652"/>
      <c r="J79" s="652"/>
      <c r="K79" s="652"/>
      <c r="L79" s="653"/>
      <c r="O79" s="13" t="s">
        <v>7</v>
      </c>
      <c r="P79" s="12" t="s">
        <v>422</v>
      </c>
    </row>
    <row r="80" spans="1:16" s="12" customFormat="1" x14ac:dyDescent="0.25">
      <c r="A80" s="14"/>
      <c r="B80" s="650"/>
      <c r="C80" s="651"/>
      <c r="D80" s="651"/>
      <c r="E80" s="652"/>
      <c r="F80" s="652"/>
      <c r="G80" s="652"/>
      <c r="H80" s="652"/>
      <c r="I80" s="652"/>
      <c r="J80" s="652"/>
      <c r="K80" s="652"/>
      <c r="L80" s="653"/>
      <c r="O80" s="13"/>
    </row>
    <row r="81" spans="1:16" s="12" customFormat="1" x14ac:dyDescent="0.25">
      <c r="A81" s="14"/>
      <c r="B81" s="650" t="str">
        <f>IF(Intro!$G$21="English",O81,P81)</f>
        <v>Adresse du site Web</v>
      </c>
      <c r="C81" s="651"/>
      <c r="D81" s="651"/>
      <c r="E81" s="652"/>
      <c r="F81" s="652"/>
      <c r="G81" s="652"/>
      <c r="H81" s="652"/>
      <c r="I81" s="652"/>
      <c r="J81" s="652"/>
      <c r="K81" s="652"/>
      <c r="L81" s="653"/>
      <c r="O81" s="13" t="s">
        <v>9</v>
      </c>
      <c r="P81" s="12" t="s">
        <v>10</v>
      </c>
    </row>
    <row r="82" spans="1:16" s="12" customFormat="1" x14ac:dyDescent="0.25">
      <c r="A82" s="14"/>
      <c r="B82" s="650"/>
      <c r="C82" s="651"/>
      <c r="D82" s="651"/>
      <c r="E82" s="652"/>
      <c r="F82" s="652"/>
      <c r="G82" s="652"/>
      <c r="H82" s="652"/>
      <c r="I82" s="652"/>
      <c r="J82" s="652"/>
      <c r="K82" s="652"/>
      <c r="L82" s="653"/>
      <c r="O82" s="13"/>
    </row>
    <row r="83" spans="1:16" s="12" customFormat="1" x14ac:dyDescent="0.25">
      <c r="A83" s="14"/>
      <c r="B83" s="162"/>
      <c r="C83" s="163"/>
      <c r="D83" s="164"/>
      <c r="E83" s="164"/>
      <c r="F83" s="164"/>
      <c r="G83" s="164"/>
      <c r="H83" s="164"/>
      <c r="I83" s="164"/>
      <c r="J83" s="164"/>
      <c r="K83" s="164"/>
      <c r="L83" s="165"/>
    </row>
    <row r="84" spans="1:16" s="157" customFormat="1" x14ac:dyDescent="0.25">
      <c r="A84" s="244"/>
      <c r="B84" s="268" t="str">
        <f>IF(Intro!$G$21="English",O84,P84)</f>
        <v>Si votre entreprise possède plusieurs sites, installations ou points de vente, soumettez une réponse consolidée au questionnaire.</v>
      </c>
      <c r="C84" s="264"/>
      <c r="D84" s="264"/>
      <c r="E84" s="264"/>
      <c r="F84" s="264"/>
      <c r="G84" s="264"/>
      <c r="H84" s="264"/>
      <c r="I84" s="264"/>
      <c r="J84" s="264"/>
      <c r="K84" s="264"/>
      <c r="L84" s="265"/>
      <c r="O84" s="157" t="s">
        <v>380</v>
      </c>
      <c r="P84" s="157" t="s">
        <v>419</v>
      </c>
    </row>
    <row r="85" spans="1:16" s="12" customFormat="1" x14ac:dyDescent="0.25">
      <c r="A85" s="14"/>
      <c r="B85" s="682" t="str">
        <f>IF(Intro!$G$21="English",O85,P85)</f>
        <v>Fournissez les noms et adresses des autres emplacements, installations et points de vente au Canada au nom desquels votre entreprise répond.</v>
      </c>
      <c r="C85" s="683"/>
      <c r="D85" s="683"/>
      <c r="E85" s="688"/>
      <c r="F85" s="688"/>
      <c r="G85" s="688"/>
      <c r="H85" s="688"/>
      <c r="I85" s="688"/>
      <c r="J85" s="688"/>
      <c r="K85" s="688"/>
      <c r="L85" s="689"/>
      <c r="M85" s="157"/>
      <c r="O85" s="13" t="s">
        <v>11</v>
      </c>
      <c r="P85" s="12" t="s">
        <v>420</v>
      </c>
    </row>
    <row r="86" spans="1:16" s="12" customFormat="1" x14ac:dyDescent="0.25">
      <c r="A86" s="14"/>
      <c r="B86" s="684"/>
      <c r="C86" s="685"/>
      <c r="D86" s="685"/>
      <c r="E86" s="690"/>
      <c r="F86" s="690"/>
      <c r="G86" s="690"/>
      <c r="H86" s="690"/>
      <c r="I86" s="690"/>
      <c r="J86" s="690"/>
      <c r="K86" s="690"/>
      <c r="L86" s="691"/>
      <c r="M86" s="157"/>
      <c r="O86" s="13"/>
    </row>
    <row r="87" spans="1:16" s="12" customFormat="1" x14ac:dyDescent="0.25">
      <c r="A87" s="14"/>
      <c r="B87" s="684"/>
      <c r="C87" s="685"/>
      <c r="D87" s="685"/>
      <c r="E87" s="690"/>
      <c r="F87" s="690"/>
      <c r="G87" s="690"/>
      <c r="H87" s="690"/>
      <c r="I87" s="690"/>
      <c r="J87" s="690"/>
      <c r="K87" s="690"/>
      <c r="L87" s="691"/>
      <c r="M87" s="157"/>
      <c r="O87" s="13"/>
    </row>
    <row r="88" spans="1:16" s="12" customFormat="1" x14ac:dyDescent="0.25">
      <c r="A88" s="14"/>
      <c r="B88" s="684"/>
      <c r="C88" s="685"/>
      <c r="D88" s="685"/>
      <c r="E88" s="690"/>
      <c r="F88" s="690"/>
      <c r="G88" s="690"/>
      <c r="H88" s="690"/>
      <c r="I88" s="690"/>
      <c r="J88" s="690"/>
      <c r="K88" s="690"/>
      <c r="L88" s="691"/>
      <c r="M88" s="157"/>
      <c r="O88" s="13"/>
    </row>
    <row r="89" spans="1:16" s="12" customFormat="1" x14ac:dyDescent="0.25">
      <c r="A89" s="14"/>
      <c r="B89" s="684"/>
      <c r="C89" s="685"/>
      <c r="D89" s="685"/>
      <c r="E89" s="690"/>
      <c r="F89" s="690"/>
      <c r="G89" s="690"/>
      <c r="H89" s="690"/>
      <c r="I89" s="690"/>
      <c r="J89" s="690"/>
      <c r="K89" s="690"/>
      <c r="L89" s="691"/>
      <c r="M89" s="157"/>
      <c r="O89" s="13"/>
    </row>
    <row r="90" spans="1:16" s="12" customFormat="1" x14ac:dyDescent="0.25">
      <c r="A90" s="14"/>
      <c r="B90" s="684"/>
      <c r="C90" s="685"/>
      <c r="D90" s="685"/>
      <c r="E90" s="690"/>
      <c r="F90" s="690"/>
      <c r="G90" s="690"/>
      <c r="H90" s="690"/>
      <c r="I90" s="690"/>
      <c r="J90" s="690"/>
      <c r="K90" s="690"/>
      <c r="L90" s="691"/>
      <c r="M90" s="157"/>
      <c r="O90" s="13"/>
    </row>
    <row r="91" spans="1:16" s="12" customFormat="1" x14ac:dyDescent="0.25">
      <c r="A91" s="14"/>
      <c r="B91" s="684"/>
      <c r="C91" s="685"/>
      <c r="D91" s="685"/>
      <c r="E91" s="690"/>
      <c r="F91" s="690"/>
      <c r="G91" s="690"/>
      <c r="H91" s="690"/>
      <c r="I91" s="690"/>
      <c r="J91" s="690"/>
      <c r="K91" s="690"/>
      <c r="L91" s="691"/>
      <c r="M91" s="157"/>
      <c r="O91" s="13"/>
    </row>
    <row r="92" spans="1:16" s="12" customFormat="1" x14ac:dyDescent="0.25">
      <c r="A92" s="14"/>
      <c r="B92" s="684"/>
      <c r="C92" s="685"/>
      <c r="D92" s="685"/>
      <c r="E92" s="690"/>
      <c r="F92" s="690"/>
      <c r="G92" s="690"/>
      <c r="H92" s="690"/>
      <c r="I92" s="690"/>
      <c r="J92" s="690"/>
      <c r="K92" s="690"/>
      <c r="L92" s="691"/>
      <c r="M92" s="157"/>
      <c r="O92" s="13"/>
    </row>
    <row r="93" spans="1:16" s="12" customFormat="1" x14ac:dyDescent="0.25">
      <c r="A93" s="14"/>
      <c r="B93" s="684"/>
      <c r="C93" s="685"/>
      <c r="D93" s="685"/>
      <c r="E93" s="690"/>
      <c r="F93" s="690"/>
      <c r="G93" s="690"/>
      <c r="H93" s="690"/>
      <c r="I93" s="690"/>
      <c r="J93" s="690"/>
      <c r="K93" s="690"/>
      <c r="L93" s="691"/>
      <c r="M93" s="157"/>
      <c r="O93" s="13"/>
    </row>
    <row r="94" spans="1:16" s="12" customFormat="1" x14ac:dyDescent="0.25">
      <c r="A94" s="14"/>
      <c r="B94" s="686"/>
      <c r="C94" s="687"/>
      <c r="D94" s="687"/>
      <c r="E94" s="692"/>
      <c r="F94" s="692"/>
      <c r="G94" s="692"/>
      <c r="H94" s="692"/>
      <c r="I94" s="692"/>
      <c r="J94" s="692"/>
      <c r="K94" s="692"/>
      <c r="L94" s="693"/>
      <c r="M94" s="157"/>
      <c r="O94" s="13"/>
    </row>
    <row r="95" spans="1:16" s="157" customFormat="1" x14ac:dyDescent="0.25">
      <c r="A95" s="244"/>
      <c r="B95" s="207"/>
      <c r="C95" s="208"/>
      <c r="D95" s="208"/>
      <c r="E95" s="208"/>
      <c r="F95" s="208"/>
      <c r="G95" s="208"/>
      <c r="H95" s="208"/>
      <c r="I95" s="208"/>
      <c r="J95" s="208"/>
      <c r="K95" s="208"/>
      <c r="L95" s="209"/>
    </row>
    <row r="97" spans="1:16" x14ac:dyDescent="0.25">
      <c r="B97" s="678" t="str">
        <f>IF(Intro!$G$21="English",O97,P97)</f>
        <v>ATTESTATION</v>
      </c>
      <c r="C97" s="679"/>
      <c r="D97" s="679"/>
      <c r="E97" s="679"/>
      <c r="F97" s="679"/>
      <c r="G97" s="679"/>
      <c r="H97" s="679"/>
      <c r="I97" s="679"/>
      <c r="J97" s="679"/>
      <c r="K97" s="679"/>
      <c r="L97" s="680"/>
      <c r="M97" s="157"/>
      <c r="O97" s="2" t="s">
        <v>3</v>
      </c>
      <c r="P97" s="2" t="s">
        <v>4</v>
      </c>
    </row>
    <row r="98" spans="1:16" s="12" customFormat="1" x14ac:dyDescent="0.25">
      <c r="A98" s="14"/>
      <c r="B98" s="31"/>
      <c r="C98" s="32"/>
      <c r="D98" s="33"/>
      <c r="E98" s="33"/>
      <c r="F98" s="33"/>
      <c r="G98" s="33"/>
      <c r="H98" s="33"/>
      <c r="I98" s="33"/>
      <c r="J98" s="33"/>
      <c r="K98" s="33"/>
      <c r="L98" s="34"/>
    </row>
    <row r="99" spans="1:16" s="157" customFormat="1" x14ac:dyDescent="0.25">
      <c r="A99" s="244"/>
      <c r="B99" s="694" t="str">
        <f>IF(Intro!$G$21="English",O99,P99)</f>
        <v>Le soussigné déclare que, pour autant qu’il sache, les renseignements fournis aux présentes sont complets et exacts.</v>
      </c>
      <c r="C99" s="695"/>
      <c r="D99" s="695"/>
      <c r="E99" s="695"/>
      <c r="F99" s="695"/>
      <c r="G99" s="695"/>
      <c r="H99" s="695"/>
      <c r="I99" s="695"/>
      <c r="J99" s="695"/>
      <c r="K99" s="695"/>
      <c r="L99" s="696"/>
      <c r="O99" s="157" t="s">
        <v>715</v>
      </c>
      <c r="P99" s="157" t="s">
        <v>716</v>
      </c>
    </row>
    <row r="100" spans="1:16" s="157" customFormat="1" x14ac:dyDescent="0.25">
      <c r="A100" s="244"/>
      <c r="B100" s="694"/>
      <c r="C100" s="695"/>
      <c r="D100" s="695"/>
      <c r="E100" s="695"/>
      <c r="F100" s="695"/>
      <c r="G100" s="695"/>
      <c r="H100" s="695"/>
      <c r="I100" s="695"/>
      <c r="J100" s="695"/>
      <c r="K100" s="695"/>
      <c r="L100" s="696"/>
    </row>
    <row r="101" spans="1:16" s="157" customFormat="1" x14ac:dyDescent="0.25">
      <c r="A101" s="244"/>
      <c r="B101" s="201"/>
      <c r="C101" s="202"/>
      <c r="D101" s="202"/>
      <c r="E101" s="202"/>
      <c r="F101" s="202"/>
      <c r="G101" s="202"/>
      <c r="H101" s="202"/>
      <c r="I101" s="202"/>
      <c r="J101" s="202"/>
      <c r="K101" s="202"/>
      <c r="L101" s="203"/>
    </row>
    <row r="102" spans="1:16" s="12" customFormat="1" x14ac:dyDescent="0.25">
      <c r="A102" s="14"/>
      <c r="B102" s="650" t="str">
        <f>IF(Intro!$G$21="English",O102,P102)</f>
        <v>Nom du représentant autorisé</v>
      </c>
      <c r="C102" s="651"/>
      <c r="D102" s="651"/>
      <c r="E102" s="652"/>
      <c r="F102" s="652"/>
      <c r="G102" s="652"/>
      <c r="H102" s="652"/>
      <c r="I102" s="652"/>
      <c r="J102" s="652"/>
      <c r="K102" s="652"/>
      <c r="L102" s="653"/>
      <c r="O102" s="13" t="s">
        <v>12</v>
      </c>
      <c r="P102" s="12" t="s">
        <v>13</v>
      </c>
    </row>
    <row r="103" spans="1:16" s="12" customFormat="1" x14ac:dyDescent="0.25">
      <c r="A103" s="14"/>
      <c r="B103" s="650"/>
      <c r="C103" s="651"/>
      <c r="D103" s="651"/>
      <c r="E103" s="652"/>
      <c r="F103" s="652"/>
      <c r="G103" s="652"/>
      <c r="H103" s="652"/>
      <c r="I103" s="652"/>
      <c r="J103" s="652"/>
      <c r="K103" s="652"/>
      <c r="L103" s="653"/>
      <c r="O103" s="13"/>
    </row>
    <row r="104" spans="1:16" s="12" customFormat="1" x14ac:dyDescent="0.25">
      <c r="A104" s="14"/>
      <c r="B104" s="650" t="str">
        <f>IF(Intro!$G$21="English",O104,P104)</f>
        <v>Titre du représentant autorisé</v>
      </c>
      <c r="C104" s="651"/>
      <c r="D104" s="651"/>
      <c r="E104" s="652"/>
      <c r="F104" s="652"/>
      <c r="G104" s="652"/>
      <c r="H104" s="652"/>
      <c r="I104" s="652"/>
      <c r="J104" s="652"/>
      <c r="K104" s="652"/>
      <c r="L104" s="653"/>
      <c r="O104" s="13" t="s">
        <v>14</v>
      </c>
      <c r="P104" s="12" t="s">
        <v>15</v>
      </c>
    </row>
    <row r="105" spans="1:16" s="12" customFormat="1" x14ac:dyDescent="0.25">
      <c r="A105" s="14"/>
      <c r="B105" s="650"/>
      <c r="C105" s="651"/>
      <c r="D105" s="651"/>
      <c r="E105" s="652"/>
      <c r="F105" s="652"/>
      <c r="G105" s="652"/>
      <c r="H105" s="652"/>
      <c r="I105" s="652"/>
      <c r="J105" s="652"/>
      <c r="K105" s="652"/>
      <c r="L105" s="653"/>
      <c r="O105" s="13"/>
    </row>
    <row r="106" spans="1:16" s="12" customFormat="1" x14ac:dyDescent="0.25">
      <c r="A106" s="14"/>
      <c r="B106" s="650" t="str">
        <f>IF(Intro!$G$21="English",O106,P106)</f>
        <v>Adresse courriel</v>
      </c>
      <c r="C106" s="651"/>
      <c r="D106" s="651"/>
      <c r="E106" s="652"/>
      <c r="F106" s="652"/>
      <c r="G106" s="652"/>
      <c r="H106" s="652"/>
      <c r="I106" s="652"/>
      <c r="J106" s="652"/>
      <c r="K106" s="652"/>
      <c r="L106" s="653"/>
      <c r="O106" s="13" t="s">
        <v>136</v>
      </c>
      <c r="P106" s="12" t="s">
        <v>465</v>
      </c>
    </row>
    <row r="107" spans="1:16" s="12" customFormat="1" x14ac:dyDescent="0.25">
      <c r="A107" s="14"/>
      <c r="B107" s="650"/>
      <c r="C107" s="651"/>
      <c r="D107" s="651"/>
      <c r="E107" s="652"/>
      <c r="F107" s="652"/>
      <c r="G107" s="652"/>
      <c r="H107" s="652"/>
      <c r="I107" s="652"/>
      <c r="J107" s="652"/>
      <c r="K107" s="652"/>
      <c r="L107" s="653"/>
      <c r="O107" s="13"/>
    </row>
    <row r="108" spans="1:16" s="12" customFormat="1" x14ac:dyDescent="0.25">
      <c r="A108" s="14"/>
      <c r="B108" s="650" t="str">
        <f>IF(Intro!$G$21="English",O108,P108)</f>
        <v>Téléphone</v>
      </c>
      <c r="C108" s="651"/>
      <c r="D108" s="651"/>
      <c r="E108" s="652"/>
      <c r="F108" s="652"/>
      <c r="G108" s="652"/>
      <c r="H108" s="652"/>
      <c r="I108" s="652"/>
      <c r="J108" s="652"/>
      <c r="K108" s="652"/>
      <c r="L108" s="653"/>
      <c r="O108" s="13" t="s">
        <v>16</v>
      </c>
      <c r="P108" s="12" t="s">
        <v>17</v>
      </c>
    </row>
    <row r="109" spans="1:16" s="12" customFormat="1" x14ac:dyDescent="0.25">
      <c r="A109" s="14"/>
      <c r="B109" s="650"/>
      <c r="C109" s="651"/>
      <c r="D109" s="651"/>
      <c r="E109" s="652"/>
      <c r="F109" s="652"/>
      <c r="G109" s="652"/>
      <c r="H109" s="652"/>
      <c r="I109" s="652"/>
      <c r="J109" s="652"/>
      <c r="K109" s="652"/>
      <c r="L109" s="653"/>
      <c r="O109" s="13"/>
    </row>
    <row r="110" spans="1:16" s="12" customFormat="1" x14ac:dyDescent="0.25">
      <c r="A110" s="14"/>
      <c r="B110" s="650" t="s">
        <v>137</v>
      </c>
      <c r="C110" s="651"/>
      <c r="D110" s="651"/>
      <c r="E110" s="681"/>
      <c r="F110" s="652"/>
      <c r="G110" s="652"/>
      <c r="H110" s="652"/>
      <c r="I110" s="652"/>
      <c r="J110" s="652"/>
      <c r="K110" s="652"/>
      <c r="L110" s="653"/>
      <c r="M110" s="157"/>
      <c r="O110" s="13"/>
    </row>
    <row r="111" spans="1:16" s="12" customFormat="1" x14ac:dyDescent="0.25">
      <c r="A111" s="14"/>
      <c r="B111" s="650"/>
      <c r="C111" s="651"/>
      <c r="D111" s="651"/>
      <c r="E111" s="652"/>
      <c r="F111" s="652"/>
      <c r="G111" s="652"/>
      <c r="H111" s="652"/>
      <c r="I111" s="652"/>
      <c r="J111" s="652"/>
      <c r="K111" s="652"/>
      <c r="L111" s="653"/>
      <c r="M111" s="157"/>
      <c r="O111" s="13"/>
    </row>
    <row r="112" spans="1:16" s="157" customFormat="1" x14ac:dyDescent="0.25">
      <c r="A112" s="244"/>
      <c r="B112" s="201"/>
      <c r="C112" s="202"/>
      <c r="D112" s="202"/>
      <c r="E112" s="202"/>
      <c r="F112" s="202"/>
      <c r="G112" s="202"/>
      <c r="H112" s="202"/>
      <c r="I112" s="202"/>
      <c r="J112" s="202"/>
      <c r="K112" s="202"/>
      <c r="L112" s="203"/>
    </row>
    <row r="113" spans="1:16" s="12" customFormat="1" ht="21" x14ac:dyDescent="0.25">
      <c r="A113" s="14"/>
      <c r="B113" s="718" t="str">
        <f>IF(Intro!$G$21="English",O113,P113)</f>
        <v>Je comprends que le fait de cocher cette case constitue ma signature juridiquement contraignante.</v>
      </c>
      <c r="C113" s="719"/>
      <c r="D113" s="719"/>
      <c r="E113" s="719"/>
      <c r="F113" s="719"/>
      <c r="G113" s="719"/>
      <c r="H113" s="719"/>
      <c r="I113" s="719"/>
      <c r="J113" s="269"/>
      <c r="K113" s="160"/>
      <c r="L113" s="161"/>
      <c r="O113" s="13" t="s">
        <v>113</v>
      </c>
      <c r="P113" s="12" t="s">
        <v>114</v>
      </c>
    </row>
    <row r="114" spans="1:16" s="157" customFormat="1" x14ac:dyDescent="0.25">
      <c r="A114" s="244"/>
      <c r="B114" s="207"/>
      <c r="C114" s="208"/>
      <c r="D114" s="208"/>
      <c r="E114" s="208"/>
      <c r="F114" s="208"/>
      <c r="G114" s="208"/>
      <c r="H114" s="208"/>
      <c r="I114" s="208"/>
      <c r="J114" s="208"/>
      <c r="K114" s="208"/>
      <c r="L114" s="209"/>
    </row>
    <row r="115" spans="1:16" s="10" customFormat="1" x14ac:dyDescent="0.25">
      <c r="A115" s="20"/>
      <c r="B115" s="29"/>
      <c r="C115" s="29"/>
      <c r="D115" s="30"/>
      <c r="E115" s="30"/>
      <c r="F115" s="30"/>
      <c r="G115" s="30"/>
      <c r="H115" s="30"/>
      <c r="I115" s="30"/>
      <c r="J115" s="30"/>
      <c r="K115" s="30"/>
      <c r="L115" s="30"/>
      <c r="O115" s="11"/>
      <c r="P115" s="11"/>
    </row>
    <row r="116" spans="1:16" s="9" customFormat="1" x14ac:dyDescent="0.25">
      <c r="A116" s="16"/>
      <c r="B116" s="703" t="str">
        <f>IF(Intro!$G$21="English",O116,P116)</f>
        <v>TRANSMISSION DU QUESTIONNAIRE REMPLI</v>
      </c>
      <c r="C116" s="704" t="str">
        <f>UPPER(IF(Intro!$G$21="English",P116,Q116))</f>
        <v/>
      </c>
      <c r="D116" s="704" t="str">
        <f>UPPER(IF(Intro!$G$21="English",Q116,R116))</f>
        <v/>
      </c>
      <c r="E116" s="704" t="str">
        <f>UPPER(IF(Intro!$G$21="English",R116,S116))</f>
        <v/>
      </c>
      <c r="F116" s="704"/>
      <c r="G116" s="704" t="str">
        <f>UPPER(IF(Intro!$G$21="English",S116,T116))</f>
        <v/>
      </c>
      <c r="H116" s="704" t="str">
        <f>UPPER(IF(Intro!$G$21="English",T116,U116))</f>
        <v/>
      </c>
      <c r="I116" s="704" t="str">
        <f>UPPER(IF(Intro!$G$21="English",U116,V116))</f>
        <v/>
      </c>
      <c r="J116" s="704" t="str">
        <f>UPPER(IF(Intro!$G$21="English",V116,W116))</f>
        <v/>
      </c>
      <c r="K116" s="704" t="str">
        <f>UPPER(IF(Intro!$G$21="English",W116,X116))</f>
        <v/>
      </c>
      <c r="L116" s="705" t="str">
        <f>UPPER(IF(Intro!$G$21="English",X116,Y116))</f>
        <v/>
      </c>
      <c r="M116" s="10"/>
      <c r="N116" s="21"/>
      <c r="O116" s="17" t="s">
        <v>134</v>
      </c>
      <c r="P116" s="17" t="s">
        <v>135</v>
      </c>
    </row>
    <row r="117" spans="1:16" s="12" customFormat="1" x14ac:dyDescent="0.25">
      <c r="A117" s="14"/>
      <c r="B117" s="31"/>
      <c r="C117" s="32"/>
      <c r="D117" s="33"/>
      <c r="E117" s="33"/>
      <c r="F117" s="33"/>
      <c r="G117" s="33"/>
      <c r="H117" s="33"/>
      <c r="I117" s="33"/>
      <c r="J117" s="33"/>
      <c r="K117" s="33"/>
      <c r="L117" s="34"/>
    </row>
    <row r="118" spans="1:16" s="157" customFormat="1" x14ac:dyDescent="0.25">
      <c r="A118" s="244"/>
      <c r="B118" s="672" t="str">
        <f>IF(Intro!$G$21="English",O118,P118)</f>
        <v>Veuillez retourner le questionnaire rempli en utilisant l’une des options suivantes :</v>
      </c>
      <c r="C118" s="673"/>
      <c r="D118" s="673"/>
      <c r="E118" s="673"/>
      <c r="F118" s="673"/>
      <c r="G118" s="673"/>
      <c r="H118" s="673"/>
      <c r="I118" s="673"/>
      <c r="J118" s="673"/>
      <c r="K118" s="673"/>
      <c r="L118" s="674"/>
      <c r="O118" s="157" t="s">
        <v>337</v>
      </c>
      <c r="P118" s="157" t="s">
        <v>2</v>
      </c>
    </row>
    <row r="119" spans="1:16" s="157" customFormat="1" x14ac:dyDescent="0.25">
      <c r="A119" s="244"/>
      <c r="B119" s="721"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119" s="722"/>
      <c r="D119" s="722"/>
      <c r="E119" s="722"/>
      <c r="F119" s="722"/>
      <c r="G119" s="722"/>
      <c r="H119" s="722"/>
      <c r="I119" s="722"/>
      <c r="J119" s="722"/>
      <c r="K119" s="722"/>
      <c r="L119" s="723"/>
    </row>
    <row r="120" spans="1:16" s="157" customFormat="1" x14ac:dyDescent="0.25">
      <c r="A120" s="244"/>
      <c r="B120" s="694" t="str">
        <f>IF(Intro!$G$21="English",O120,P120)</f>
        <v>2. Par courriel à l’adresse tcce-citt@tribunal.gc.ca si vous acceptez les risques connexes et vous transmettez des renseignements qui sont ceux de votre entreprise seulement.</v>
      </c>
      <c r="C120" s="695"/>
      <c r="D120" s="695"/>
      <c r="E120" s="695"/>
      <c r="F120" s="695"/>
      <c r="G120" s="695"/>
      <c r="H120" s="695"/>
      <c r="I120" s="695"/>
      <c r="J120" s="695"/>
      <c r="K120" s="695"/>
      <c r="L120" s="696"/>
      <c r="O120" s="157" t="s">
        <v>590</v>
      </c>
      <c r="P120" s="157" t="s">
        <v>717</v>
      </c>
    </row>
    <row r="121" spans="1:16" s="157" customFormat="1" x14ac:dyDescent="0.25">
      <c r="A121" s="244"/>
      <c r="B121" s="694"/>
      <c r="C121" s="695"/>
      <c r="D121" s="695"/>
      <c r="E121" s="695"/>
      <c r="F121" s="695"/>
      <c r="G121" s="695"/>
      <c r="H121" s="695"/>
      <c r="I121" s="695"/>
      <c r="J121" s="695"/>
      <c r="K121" s="695"/>
      <c r="L121" s="696"/>
    </row>
    <row r="122" spans="1:16" s="12" customFormat="1" x14ac:dyDescent="0.25">
      <c r="A122" s="14"/>
      <c r="B122" s="31"/>
      <c r="C122" s="32"/>
      <c r="D122" s="33"/>
      <c r="E122" s="33"/>
      <c r="F122" s="33"/>
      <c r="G122" s="33"/>
      <c r="H122" s="33"/>
      <c r="I122" s="33"/>
      <c r="J122" s="33"/>
      <c r="K122" s="33"/>
      <c r="L122" s="34"/>
    </row>
    <row r="123" spans="1:16" s="157" customFormat="1" x14ac:dyDescent="0.25">
      <c r="A123" s="244"/>
      <c r="B123" s="672" t="str">
        <f>IF(Intro!$G$21="English",O123,P123)</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23" s="673"/>
      <c r="D123" s="673"/>
      <c r="E123" s="673"/>
      <c r="F123" s="673"/>
      <c r="G123" s="673"/>
      <c r="H123" s="673"/>
      <c r="I123" s="673"/>
      <c r="J123" s="673"/>
      <c r="K123" s="673"/>
      <c r="L123" s="674"/>
      <c r="O123" s="157" t="s">
        <v>378</v>
      </c>
      <c r="P123" s="157" t="s">
        <v>423</v>
      </c>
    </row>
    <row r="124" spans="1:16" s="157" customFormat="1" x14ac:dyDescent="0.25">
      <c r="A124" s="244"/>
      <c r="B124" s="672"/>
      <c r="C124" s="673"/>
      <c r="D124" s="673"/>
      <c r="E124" s="673"/>
      <c r="F124" s="673"/>
      <c r="G124" s="673"/>
      <c r="H124" s="673"/>
      <c r="I124" s="673"/>
      <c r="J124" s="673"/>
      <c r="K124" s="673"/>
      <c r="L124" s="674"/>
    </row>
    <row r="125" spans="1:16" s="157" customFormat="1" x14ac:dyDescent="0.25">
      <c r="A125" s="244"/>
      <c r="B125" s="207"/>
      <c r="C125" s="208"/>
      <c r="D125" s="208"/>
      <c r="E125" s="208"/>
      <c r="F125" s="208"/>
      <c r="G125" s="208"/>
      <c r="H125" s="208"/>
      <c r="I125" s="208"/>
      <c r="J125" s="208"/>
      <c r="K125" s="208"/>
      <c r="L125" s="209"/>
    </row>
    <row r="127" spans="1:16" s="9" customFormat="1" x14ac:dyDescent="0.25">
      <c r="A127" s="16"/>
      <c r="B127" s="703" t="s">
        <v>675</v>
      </c>
      <c r="C127" s="704" t="str">
        <f>UPPER(IF(Intro!$G$21="English",P127,Q127))</f>
        <v/>
      </c>
      <c r="D127" s="704" t="str">
        <f>UPPER(IF(Intro!$G$21="English",Q127,R127))</f>
        <v/>
      </c>
      <c r="E127" s="704" t="str">
        <f>UPPER(IF(Intro!$G$21="English",R127,S127))</f>
        <v/>
      </c>
      <c r="F127" s="704"/>
      <c r="G127" s="704" t="str">
        <f>UPPER(IF(Intro!$G$21="English",S127,T127))</f>
        <v/>
      </c>
      <c r="H127" s="704" t="str">
        <f>UPPER(IF(Intro!$G$21="English",T127,U127))</f>
        <v/>
      </c>
      <c r="I127" s="704" t="str">
        <f>UPPER(IF(Intro!$G$21="English",U127,V127))</f>
        <v/>
      </c>
      <c r="J127" s="704" t="str">
        <f>UPPER(IF(Intro!$G$21="English",V127,W127))</f>
        <v/>
      </c>
      <c r="K127" s="704" t="str">
        <f>UPPER(IF(Intro!$G$21="English",W127,X127))</f>
        <v/>
      </c>
      <c r="L127" s="705" t="str">
        <f>UPPER(IF(Intro!$G$21="English",X127,Y127))</f>
        <v/>
      </c>
      <c r="M127" s="10"/>
      <c r="N127" s="21"/>
      <c r="O127" s="17"/>
      <c r="P127" s="17"/>
    </row>
    <row r="128" spans="1:16" s="12" customFormat="1" x14ac:dyDescent="0.25">
      <c r="A128" s="14"/>
      <c r="B128" s="31"/>
      <c r="C128" s="32"/>
      <c r="D128" s="33"/>
      <c r="E128" s="33"/>
      <c r="F128" s="33"/>
      <c r="G128" s="33"/>
      <c r="H128" s="33"/>
      <c r="I128" s="33"/>
      <c r="J128" s="33"/>
      <c r="K128" s="33"/>
      <c r="L128" s="34"/>
    </row>
    <row r="129" spans="1:16" s="157" customFormat="1" x14ac:dyDescent="0.25">
      <c r="A129" s="244"/>
      <c r="B129" s="672" t="str">
        <f>IF(Intro!$G$21="English",O129,P129)</f>
        <v xml:space="preserve">Toutes les questions relatives au présent questionnaire doivent être adressées à :
</v>
      </c>
      <c r="C129" s="673"/>
      <c r="D129" s="673"/>
      <c r="E129" s="673"/>
      <c r="F129" s="673"/>
      <c r="G129" s="673"/>
      <c r="H129" s="673"/>
      <c r="I129" s="673"/>
      <c r="J129" s="673"/>
      <c r="K129" s="673"/>
      <c r="L129" s="674"/>
      <c r="O129" s="157" t="s">
        <v>415</v>
      </c>
      <c r="P129" s="157" t="s">
        <v>416</v>
      </c>
    </row>
    <row r="130" spans="1:16" s="157" customFormat="1" x14ac:dyDescent="0.25">
      <c r="A130" s="244"/>
      <c r="B130" s="186"/>
      <c r="C130" s="187"/>
      <c r="D130" s="187"/>
      <c r="E130" s="187"/>
      <c r="F130" s="187"/>
      <c r="G130" s="187"/>
      <c r="H130" s="187"/>
      <c r="I130" s="187"/>
      <c r="J130" s="187"/>
      <c r="K130" s="187"/>
      <c r="L130" s="188"/>
    </row>
    <row r="131" spans="1:16" s="12" customFormat="1" x14ac:dyDescent="0.25">
      <c r="A131" s="14"/>
      <c r="B131" s="720" t="str">
        <f>Variables!B13</f>
        <v>Paula Place</v>
      </c>
      <c r="C131" s="716"/>
      <c r="D131" s="716"/>
      <c r="E131" s="716" t="str">
        <f>Variables!C13</f>
        <v>paula.place@tribunal.gc.ca</v>
      </c>
      <c r="F131" s="716"/>
      <c r="G131" s="716"/>
      <c r="H131" s="716"/>
      <c r="I131" s="716"/>
      <c r="J131" s="716" t="str">
        <f>Variables!D13</f>
        <v>343-574-3196</v>
      </c>
      <c r="K131" s="716"/>
      <c r="L131" s="717"/>
      <c r="O131" s="13"/>
    </row>
    <row r="132" spans="1:16" s="12" customFormat="1" x14ac:dyDescent="0.25">
      <c r="A132" s="14"/>
      <c r="B132" s="720" t="str">
        <f>Variables!B14</f>
        <v>Thy Dao</v>
      </c>
      <c r="C132" s="716"/>
      <c r="D132" s="716"/>
      <c r="E132" s="716" t="str">
        <f>Variables!C14</f>
        <v>thy.dao@tribunal.gc.ca</v>
      </c>
      <c r="F132" s="716"/>
      <c r="G132" s="716"/>
      <c r="H132" s="716"/>
      <c r="I132" s="716"/>
      <c r="J132" s="716" t="str">
        <f>Variables!D14</f>
        <v>613-558-6438</v>
      </c>
      <c r="K132" s="716"/>
      <c r="L132" s="717"/>
      <c r="O132" s="13"/>
    </row>
    <row r="133" spans="1:16" s="157" customFormat="1" x14ac:dyDescent="0.25">
      <c r="A133" s="244"/>
      <c r="B133" s="207"/>
      <c r="C133" s="208"/>
      <c r="D133" s="208"/>
      <c r="E133" s="208"/>
      <c r="F133" s="208"/>
      <c r="G133" s="208"/>
      <c r="H133" s="208"/>
      <c r="I133" s="208"/>
      <c r="J133" s="208"/>
      <c r="K133" s="208"/>
      <c r="L133" s="209"/>
    </row>
  </sheetData>
  <sheetProtection algorithmName="SHA-512" hashValue="ZSICyKfgvNENEruwoEzr6u+F5Q77qZt/RuwJ6ZK66qh6Qqbg6X4PkEux9oOyTzVEoWWQMD3Eu1IbE+3azg8hCA==" saltValue="0fxjOwwuIaBvSgJ60iOzWA==" spinCount="100000" sheet="1" objects="1" scenarios="1" selectLockedCells="1"/>
  <mergeCells count="67">
    <mergeCell ref="J131:L131"/>
    <mergeCell ref="J132:L132"/>
    <mergeCell ref="B113:I113"/>
    <mergeCell ref="B131:D131"/>
    <mergeCell ref="B132:D132"/>
    <mergeCell ref="E131:I131"/>
    <mergeCell ref="E132:I132"/>
    <mergeCell ref="B116:L116"/>
    <mergeCell ref="B118:L118"/>
    <mergeCell ref="B129:L129"/>
    <mergeCell ref="B119:L119"/>
    <mergeCell ref="B127:L127"/>
    <mergeCell ref="B108:D109"/>
    <mergeCell ref="B110:D111"/>
    <mergeCell ref="B120:L121"/>
    <mergeCell ref="B123:L124"/>
    <mergeCell ref="B4:L4"/>
    <mergeCell ref="B5:L5"/>
    <mergeCell ref="B34:L34"/>
    <mergeCell ref="B8:L8"/>
    <mergeCell ref="B25:L25"/>
    <mergeCell ref="B27:L27"/>
    <mergeCell ref="B19:L19"/>
    <mergeCell ref="B10:F16"/>
    <mergeCell ref="H10:L16"/>
    <mergeCell ref="B49:L49"/>
    <mergeCell ref="B75:L75"/>
    <mergeCell ref="B6:L6"/>
    <mergeCell ref="D44:E47"/>
    <mergeCell ref="F44:L47"/>
    <mergeCell ref="D65:J66"/>
    <mergeCell ref="B71:L72"/>
    <mergeCell ref="B69:L69"/>
    <mergeCell ref="B63:L63"/>
    <mergeCell ref="B51:L60"/>
    <mergeCell ref="E110:L111"/>
    <mergeCell ref="E108:L109"/>
    <mergeCell ref="B97:L97"/>
    <mergeCell ref="B77:D78"/>
    <mergeCell ref="E77:L78"/>
    <mergeCell ref="B79:D80"/>
    <mergeCell ref="B81:D82"/>
    <mergeCell ref="E81:L82"/>
    <mergeCell ref="E79:L80"/>
    <mergeCell ref="B85:D94"/>
    <mergeCell ref="E85:L94"/>
    <mergeCell ref="B99:L100"/>
    <mergeCell ref="B102:D103"/>
    <mergeCell ref="E102:L103"/>
    <mergeCell ref="E104:L105"/>
    <mergeCell ref="B104:D105"/>
    <mergeCell ref="B106:D107"/>
    <mergeCell ref="E106:L107"/>
    <mergeCell ref="B21:F22"/>
    <mergeCell ref="H21:L22"/>
    <mergeCell ref="G21:G22"/>
    <mergeCell ref="C29:K32"/>
    <mergeCell ref="B42:C43"/>
    <mergeCell ref="D42:E43"/>
    <mergeCell ref="F42:L43"/>
    <mergeCell ref="B28:L28"/>
    <mergeCell ref="B33:L33"/>
    <mergeCell ref="B39:L39"/>
    <mergeCell ref="D41:E41"/>
    <mergeCell ref="F41:L41"/>
    <mergeCell ref="B37:L37"/>
    <mergeCell ref="B44:C47"/>
  </mergeCells>
  <dataValidations count="4">
    <dataValidation type="list" allowBlank="1" showInputMessage="1" showErrorMessage="1" sqref="J113"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85:E91 B51" xr:uid="{F430DF32-834C-4959-BEAA-B4F42952D68C}">
      <formula1>1000</formula1>
    </dataValidation>
    <dataValidation type="list" allowBlank="1" showInputMessage="1" showErrorMessage="1" sqref="G21" xr:uid="{F5AA4BE9-9448-48C5-BA37-1F2FA482299A}">
      <formula1>"English, Français"</formula1>
    </dataValidation>
    <dataValidation allowBlank="1" sqref="E77:L82 E102:L111" xr:uid="{077099D5-306F-4BFA-A823-7C9677184E2C}"/>
  </dataValidations>
  <printOptions horizontalCentered="1"/>
  <pageMargins left="0.25" right="0.25" top="0.75" bottom="0.75" header="0.3" footer="0.3"/>
  <pageSetup scale="63" fitToHeight="0" orientation="portrait" r:id="rId1"/>
  <headerFooter>
    <oddFooter>&amp;L&amp;A</oddFooter>
  </headerFooter>
  <rowBreaks count="2" manualBreakCount="2">
    <brk id="62" min="1" max="11" man="1"/>
    <brk id="115" min="1" max="11" man="1"/>
  </rowBreaks>
  <ignoredErrors>
    <ignoredError sqref="B119"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Variables!$D$46:$D$47</xm:f>
          </x14:formula1>
          <xm:sqref>D42:E47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05D4-11D9-4DAF-9B0C-9A337A0B69D3}">
  <sheetPr>
    <tabColor rgb="FFFF0000"/>
  </sheetPr>
  <dimension ref="A4:AN9"/>
  <sheetViews>
    <sheetView topLeftCell="L1" workbookViewId="0">
      <selection activeCell="AL7" sqref="AL7"/>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4" spans="1:40" ht="26.25" x14ac:dyDescent="0.25">
      <c r="A4" s="551" t="s">
        <v>508</v>
      </c>
      <c r="B4" s="363" t="s">
        <v>777</v>
      </c>
      <c r="C4" s="551" t="s">
        <v>509</v>
      </c>
      <c r="D4" s="593" t="s">
        <v>871</v>
      </c>
      <c r="E4" s="594" t="s">
        <v>779</v>
      </c>
      <c r="F4" s="594" t="s">
        <v>780</v>
      </c>
      <c r="G4" s="551" t="s">
        <v>512</v>
      </c>
      <c r="H4" s="551" t="s">
        <v>513</v>
      </c>
      <c r="I4" s="595" t="s">
        <v>781</v>
      </c>
      <c r="J4" s="551" t="s">
        <v>514</v>
      </c>
      <c r="K4" s="555" t="s">
        <v>782</v>
      </c>
      <c r="L4" s="555" t="s">
        <v>571</v>
      </c>
      <c r="M4" s="551" t="s">
        <v>546</v>
      </c>
      <c r="N4" s="555" t="s">
        <v>547</v>
      </c>
      <c r="O4" s="551" t="s">
        <v>548</v>
      </c>
      <c r="P4" s="596" t="s">
        <v>516</v>
      </c>
      <c r="Q4" s="597" t="s">
        <v>582</v>
      </c>
      <c r="R4" s="597" t="s">
        <v>583</v>
      </c>
      <c r="S4" s="597" t="s">
        <v>584</v>
      </c>
      <c r="T4" s="597" t="s">
        <v>585</v>
      </c>
      <c r="U4" s="597" t="s">
        <v>586</v>
      </c>
      <c r="V4" s="597" t="s">
        <v>874</v>
      </c>
      <c r="W4" s="598" t="s">
        <v>875</v>
      </c>
      <c r="X4" s="598" t="s">
        <v>964</v>
      </c>
      <c r="Y4" s="597" t="s">
        <v>582</v>
      </c>
      <c r="Z4" s="597" t="s">
        <v>583</v>
      </c>
      <c r="AA4" s="597" t="s">
        <v>584</v>
      </c>
      <c r="AB4" s="597" t="s">
        <v>585</v>
      </c>
      <c r="AC4" s="597" t="s">
        <v>586</v>
      </c>
      <c r="AD4" s="597" t="s">
        <v>874</v>
      </c>
      <c r="AE4" s="598" t="s">
        <v>875</v>
      </c>
      <c r="AF4" s="598" t="s">
        <v>964</v>
      </c>
      <c r="AG4" s="597" t="s">
        <v>582</v>
      </c>
      <c r="AH4" s="597" t="s">
        <v>583</v>
      </c>
      <c r="AI4" s="597" t="s">
        <v>584</v>
      </c>
      <c r="AJ4" s="597" t="s">
        <v>585</v>
      </c>
      <c r="AK4" s="597" t="s">
        <v>586</v>
      </c>
      <c r="AL4" s="597" t="s">
        <v>874</v>
      </c>
      <c r="AM4" s="598" t="s">
        <v>875</v>
      </c>
      <c r="AN4" s="598" t="s">
        <v>964</v>
      </c>
    </row>
    <row r="5" spans="1:40" x14ac:dyDescent="0.25">
      <c r="A5" s="599">
        <f>Intro!E77</f>
        <v>0</v>
      </c>
      <c r="B5" s="600">
        <f>A5</f>
        <v>0</v>
      </c>
      <c r="C5" s="600" t="s">
        <v>524</v>
      </c>
      <c r="D5" s="601"/>
      <c r="E5" s="601"/>
      <c r="F5" s="602"/>
      <c r="G5" s="600" t="s">
        <v>549</v>
      </c>
      <c r="H5" s="600" t="s">
        <v>526</v>
      </c>
      <c r="I5" s="600" t="s">
        <v>526</v>
      </c>
      <c r="J5" s="600" t="s">
        <v>526</v>
      </c>
      <c r="K5" s="600"/>
      <c r="L5" s="600" t="s">
        <v>526</v>
      </c>
      <c r="M5" s="603" t="s">
        <v>550</v>
      </c>
      <c r="N5" s="599">
        <f>'Pro 2'!C222</f>
        <v>0</v>
      </c>
      <c r="O5" s="600" t="e">
        <v>#N/A</v>
      </c>
      <c r="P5" s="604" t="s">
        <v>527</v>
      </c>
      <c r="Q5" s="605">
        <f>'Pro 2'!E234</f>
        <v>0</v>
      </c>
      <c r="R5" s="605">
        <f>'Pro 2'!F234</f>
        <v>0</v>
      </c>
      <c r="S5" s="605">
        <f>'Pro 2'!G234</f>
        <v>0</v>
      </c>
      <c r="T5" s="605">
        <f>'Pro 2'!H234</f>
        <v>0</v>
      </c>
      <c r="U5" s="605">
        <f>'Pro 2'!I234</f>
        <v>0</v>
      </c>
      <c r="V5" s="605">
        <f>'Pro 2'!J234</f>
        <v>0</v>
      </c>
      <c r="W5" s="605">
        <f>'Pro 2'!K234</f>
        <v>0</v>
      </c>
      <c r="X5" s="606">
        <f>'Pro 2'!L234</f>
        <v>0</v>
      </c>
      <c r="Y5" s="605">
        <f>'Pro 2'!E235/1000</f>
        <v>0</v>
      </c>
      <c r="Z5" s="605">
        <f>'Pro 2'!F235/1000</f>
        <v>0</v>
      </c>
      <c r="AA5" s="605">
        <f>'Pro 2'!G235/1000</f>
        <v>0</v>
      </c>
      <c r="AB5" s="605">
        <f>'Pro 2'!H235/1000</f>
        <v>0</v>
      </c>
      <c r="AC5" s="605">
        <f>'Pro 2'!I235/1000</f>
        <v>0</v>
      </c>
      <c r="AD5" s="605">
        <f>'Pro 2'!J235/1000</f>
        <v>0</v>
      </c>
      <c r="AE5" s="605">
        <f>'Pro 2'!K235/1000</f>
        <v>0</v>
      </c>
      <c r="AF5" s="606">
        <f>'Pro 2'!L235/1000</f>
        <v>0</v>
      </c>
      <c r="AG5" s="607">
        <f>IF(ISERROR(Y5/Q5),0,Y5/Q5)*1000</f>
        <v>0</v>
      </c>
      <c r="AH5" s="607">
        <f t="shared" ref="AG5:AN9" si="0">IF(ISERROR(Z5/R5),0,Z5/R5)*1000</f>
        <v>0</v>
      </c>
      <c r="AI5" s="607">
        <f t="shared" si="0"/>
        <v>0</v>
      </c>
      <c r="AJ5" s="607">
        <f t="shared" si="0"/>
        <v>0</v>
      </c>
      <c r="AK5" s="607">
        <f t="shared" si="0"/>
        <v>0</v>
      </c>
      <c r="AL5" s="607">
        <f t="shared" si="0"/>
        <v>0</v>
      </c>
      <c r="AM5" s="607">
        <f t="shared" si="0"/>
        <v>0</v>
      </c>
      <c r="AN5" s="608">
        <f t="shared" si="0"/>
        <v>0</v>
      </c>
    </row>
    <row r="6" spans="1:40" x14ac:dyDescent="0.25">
      <c r="A6" s="609">
        <f>A5</f>
        <v>0</v>
      </c>
      <c r="B6" s="609">
        <f>B5</f>
        <v>0</v>
      </c>
      <c r="C6" s="609" t="str">
        <f>C5</f>
        <v>1 - Producer</v>
      </c>
      <c r="D6" s="389"/>
      <c r="E6" s="389"/>
      <c r="F6" s="610"/>
      <c r="G6" s="609" t="str">
        <f>G5</f>
        <v>A - DOM</v>
      </c>
      <c r="H6" s="609" t="s">
        <v>526</v>
      </c>
      <c r="I6" s="609" t="s">
        <v>526</v>
      </c>
      <c r="J6" s="609" t="s">
        <v>526</v>
      </c>
      <c r="K6" s="609"/>
      <c r="L6" s="609" t="s">
        <v>526</v>
      </c>
      <c r="M6" s="611" t="s">
        <v>551</v>
      </c>
      <c r="N6" s="612">
        <f>'Pro 2'!C223</f>
        <v>0</v>
      </c>
      <c r="O6" s="609" t="e">
        <v>#N/A</v>
      </c>
      <c r="P6" s="613" t="str">
        <f t="shared" ref="P6:P9" si="1">P5</f>
        <v>Dom</v>
      </c>
      <c r="Q6" s="614">
        <f>'Pro 2'!E238</f>
        <v>0</v>
      </c>
      <c r="R6" s="614">
        <f>'Pro 2'!F238</f>
        <v>0</v>
      </c>
      <c r="S6" s="614">
        <f>'Pro 2'!G238</f>
        <v>0</v>
      </c>
      <c r="T6" s="614">
        <f>'Pro 2'!H238</f>
        <v>0</v>
      </c>
      <c r="U6" s="614">
        <f>'Pro 2'!I238</f>
        <v>0</v>
      </c>
      <c r="V6" s="614">
        <f>'Pro 2'!J238</f>
        <v>0</v>
      </c>
      <c r="W6" s="614">
        <f>'Pro 2'!K238</f>
        <v>0</v>
      </c>
      <c r="X6" s="615">
        <f>'Pro 2'!L238</f>
        <v>0</v>
      </c>
      <c r="Y6" s="614">
        <f>'Pro 2'!E239/1000</f>
        <v>0</v>
      </c>
      <c r="Z6" s="614">
        <f>'Pro 2'!F239/1000</f>
        <v>0</v>
      </c>
      <c r="AA6" s="614">
        <f>'Pro 2'!G239/1000</f>
        <v>0</v>
      </c>
      <c r="AB6" s="614">
        <f>'Pro 2'!H239/1000</f>
        <v>0</v>
      </c>
      <c r="AC6" s="614">
        <f>'Pro 2'!I239/1000</f>
        <v>0</v>
      </c>
      <c r="AD6" s="614">
        <f>'Pro 2'!J239/1000</f>
        <v>0</v>
      </c>
      <c r="AE6" s="614">
        <f>'Pro 2'!K239/1000</f>
        <v>0</v>
      </c>
      <c r="AF6" s="615">
        <f>'Pro 2'!L239/1000</f>
        <v>0</v>
      </c>
      <c r="AG6" s="616">
        <f t="shared" si="0"/>
        <v>0</v>
      </c>
      <c r="AH6" s="616">
        <f t="shared" si="0"/>
        <v>0</v>
      </c>
      <c r="AI6" s="616">
        <f t="shared" si="0"/>
        <v>0</v>
      </c>
      <c r="AJ6" s="616">
        <f t="shared" si="0"/>
        <v>0</v>
      </c>
      <c r="AK6" s="616">
        <f t="shared" si="0"/>
        <v>0</v>
      </c>
      <c r="AL6" s="616">
        <f t="shared" si="0"/>
        <v>0</v>
      </c>
      <c r="AM6" s="616">
        <f t="shared" si="0"/>
        <v>0</v>
      </c>
      <c r="AN6" s="575">
        <f t="shared" si="0"/>
        <v>0</v>
      </c>
    </row>
    <row r="7" spans="1:40" x14ac:dyDescent="0.25">
      <c r="A7" s="617">
        <f t="shared" ref="A7:C9" si="2">A6</f>
        <v>0</v>
      </c>
      <c r="B7" s="617">
        <f t="shared" si="2"/>
        <v>0</v>
      </c>
      <c r="C7" s="617" t="str">
        <f t="shared" si="2"/>
        <v>1 - Producer</v>
      </c>
      <c r="D7" s="618"/>
      <c r="E7" s="618"/>
      <c r="F7" s="619"/>
      <c r="G7" s="617" t="str">
        <f t="shared" ref="G7:G9" si="3">G6</f>
        <v>A - DOM</v>
      </c>
      <c r="H7" s="617" t="s">
        <v>526</v>
      </c>
      <c r="I7" s="617" t="s">
        <v>526</v>
      </c>
      <c r="J7" s="617" t="s">
        <v>526</v>
      </c>
      <c r="K7" s="617"/>
      <c r="L7" s="617" t="s">
        <v>526</v>
      </c>
      <c r="M7" s="620" t="s">
        <v>552</v>
      </c>
      <c r="N7" s="612">
        <f>'Pro 2'!C224</f>
        <v>0</v>
      </c>
      <c r="O7" s="617" t="e">
        <v>#N/A</v>
      </c>
      <c r="P7" s="621" t="str">
        <f t="shared" si="1"/>
        <v>Dom</v>
      </c>
      <c r="Q7" s="614">
        <f>'Pro 2'!E242</f>
        <v>0</v>
      </c>
      <c r="R7" s="614">
        <f>'Pro 2'!F242</f>
        <v>0</v>
      </c>
      <c r="S7" s="614">
        <f>'Pro 2'!G242</f>
        <v>0</v>
      </c>
      <c r="T7" s="614">
        <f>'Pro 2'!H242</f>
        <v>0</v>
      </c>
      <c r="U7" s="614">
        <f>'Pro 2'!I242</f>
        <v>0</v>
      </c>
      <c r="V7" s="614">
        <f>'Pro 2'!J242</f>
        <v>0</v>
      </c>
      <c r="W7" s="614">
        <f>'Pro 2'!K242</f>
        <v>0</v>
      </c>
      <c r="X7" s="615">
        <f>'Pro 2'!L242</f>
        <v>0</v>
      </c>
      <c r="Y7" s="614">
        <f>'Pro 2'!E243/1000</f>
        <v>0</v>
      </c>
      <c r="Z7" s="614">
        <f>'Pro 2'!F243/1000</f>
        <v>0</v>
      </c>
      <c r="AA7" s="614">
        <f>'Pro 2'!G243/1000</f>
        <v>0</v>
      </c>
      <c r="AB7" s="614">
        <f>'Pro 2'!H243/1000</f>
        <v>0</v>
      </c>
      <c r="AC7" s="614">
        <f>'Pro 2'!I243/1000</f>
        <v>0</v>
      </c>
      <c r="AD7" s="614">
        <f>'Pro 2'!J243/1000</f>
        <v>0</v>
      </c>
      <c r="AE7" s="614">
        <f>'Pro 2'!K243/1000</f>
        <v>0</v>
      </c>
      <c r="AF7" s="615">
        <f>'Pro 2'!L243/1000</f>
        <v>0</v>
      </c>
      <c r="AG7" s="622">
        <f t="shared" si="0"/>
        <v>0</v>
      </c>
      <c r="AH7" s="622">
        <f t="shared" si="0"/>
        <v>0</v>
      </c>
      <c r="AI7" s="622">
        <f t="shared" si="0"/>
        <v>0</v>
      </c>
      <c r="AJ7" s="622">
        <f t="shared" si="0"/>
        <v>0</v>
      </c>
      <c r="AK7" s="622">
        <f t="shared" si="0"/>
        <v>0</v>
      </c>
      <c r="AL7" s="622">
        <f t="shared" si="0"/>
        <v>0</v>
      </c>
      <c r="AM7" s="622">
        <f t="shared" si="0"/>
        <v>0</v>
      </c>
      <c r="AN7" s="623">
        <f t="shared" si="0"/>
        <v>0</v>
      </c>
    </row>
    <row r="8" spans="1:40" x14ac:dyDescent="0.25">
      <c r="A8" s="609">
        <f t="shared" si="2"/>
        <v>0</v>
      </c>
      <c r="B8" s="609">
        <f t="shared" si="2"/>
        <v>0</v>
      </c>
      <c r="C8" s="609" t="str">
        <f t="shared" si="2"/>
        <v>1 - Producer</v>
      </c>
      <c r="D8" s="389"/>
      <c r="E8" s="389"/>
      <c r="F8" s="610"/>
      <c r="G8" s="609" t="str">
        <f t="shared" si="3"/>
        <v>A - DOM</v>
      </c>
      <c r="H8" s="609" t="s">
        <v>526</v>
      </c>
      <c r="I8" s="609" t="s">
        <v>526</v>
      </c>
      <c r="J8" s="609" t="s">
        <v>526</v>
      </c>
      <c r="K8" s="609"/>
      <c r="L8" s="609" t="s">
        <v>526</v>
      </c>
      <c r="M8" s="611" t="s">
        <v>553</v>
      </c>
      <c r="N8" s="612">
        <f>'Pro 2'!C225</f>
        <v>0</v>
      </c>
      <c r="O8" s="609" t="e">
        <v>#N/A</v>
      </c>
      <c r="P8" s="613" t="str">
        <f t="shared" si="1"/>
        <v>Dom</v>
      </c>
      <c r="Q8" s="614">
        <f>'Pro 2'!E246</f>
        <v>0</v>
      </c>
      <c r="R8" s="614">
        <f>'Pro 2'!F246</f>
        <v>0</v>
      </c>
      <c r="S8" s="614">
        <f>'Pro 2'!G246</f>
        <v>0</v>
      </c>
      <c r="T8" s="614">
        <f>'Pro 2'!H246</f>
        <v>0</v>
      </c>
      <c r="U8" s="614">
        <f>'Pro 2'!I246</f>
        <v>0</v>
      </c>
      <c r="V8" s="614">
        <f>'Pro 2'!J246</f>
        <v>0</v>
      </c>
      <c r="W8" s="614">
        <f>'Pro 2'!K246</f>
        <v>0</v>
      </c>
      <c r="X8" s="615">
        <f>'Pro 2'!L246</f>
        <v>0</v>
      </c>
      <c r="Y8" s="614">
        <f>'Pro 2'!E247/1000</f>
        <v>0</v>
      </c>
      <c r="Z8" s="614">
        <f>'Pro 2'!F247/1000</f>
        <v>0</v>
      </c>
      <c r="AA8" s="614">
        <f>'Pro 2'!G247/1000</f>
        <v>0</v>
      </c>
      <c r="AB8" s="614">
        <f>'Pro 2'!H247/1000</f>
        <v>0</v>
      </c>
      <c r="AC8" s="614">
        <f>'Pro 2'!I247/1000</f>
        <v>0</v>
      </c>
      <c r="AD8" s="614">
        <f>'Pro 2'!J247/1000</f>
        <v>0</v>
      </c>
      <c r="AE8" s="614">
        <f>'Pro 2'!K247/1000</f>
        <v>0</v>
      </c>
      <c r="AF8" s="615">
        <f>'Pro 2'!L247/1000</f>
        <v>0</v>
      </c>
      <c r="AG8" s="616">
        <f t="shared" si="0"/>
        <v>0</v>
      </c>
      <c r="AH8" s="616">
        <f t="shared" si="0"/>
        <v>0</v>
      </c>
      <c r="AI8" s="616">
        <f t="shared" si="0"/>
        <v>0</v>
      </c>
      <c r="AJ8" s="616">
        <f t="shared" si="0"/>
        <v>0</v>
      </c>
      <c r="AK8" s="616">
        <f t="shared" si="0"/>
        <v>0</v>
      </c>
      <c r="AL8" s="616">
        <f t="shared" si="0"/>
        <v>0</v>
      </c>
      <c r="AM8" s="616">
        <f t="shared" si="0"/>
        <v>0</v>
      </c>
      <c r="AN8" s="575">
        <f t="shared" si="0"/>
        <v>0</v>
      </c>
    </row>
    <row r="9" spans="1:40" x14ac:dyDescent="0.25">
      <c r="A9" s="617">
        <f t="shared" si="2"/>
        <v>0</v>
      </c>
      <c r="B9" s="617">
        <f t="shared" si="2"/>
        <v>0</v>
      </c>
      <c r="C9" s="617" t="str">
        <f t="shared" si="2"/>
        <v>1 - Producer</v>
      </c>
      <c r="D9" s="618"/>
      <c r="E9" s="618"/>
      <c r="F9" s="619"/>
      <c r="G9" s="617" t="str">
        <f t="shared" si="3"/>
        <v>A - DOM</v>
      </c>
      <c r="H9" s="617" t="s">
        <v>526</v>
      </c>
      <c r="I9" s="617" t="s">
        <v>526</v>
      </c>
      <c r="J9" s="617" t="s">
        <v>526</v>
      </c>
      <c r="K9" s="617"/>
      <c r="L9" s="617" t="s">
        <v>526</v>
      </c>
      <c r="M9" s="620" t="s">
        <v>554</v>
      </c>
      <c r="N9" s="612">
        <f>'Pro 2'!C226</f>
        <v>0</v>
      </c>
      <c r="O9" s="617" t="e">
        <v>#N/A</v>
      </c>
      <c r="P9" s="621" t="str">
        <f t="shared" si="1"/>
        <v>Dom</v>
      </c>
      <c r="Q9" s="614">
        <f>'Pro 2'!E250</f>
        <v>0</v>
      </c>
      <c r="R9" s="614">
        <f>'Pro 2'!F250</f>
        <v>0</v>
      </c>
      <c r="S9" s="614">
        <f>'Pro 2'!G250</f>
        <v>0</v>
      </c>
      <c r="T9" s="614">
        <f>'Pro 2'!H250</f>
        <v>0</v>
      </c>
      <c r="U9" s="614">
        <f>'Pro 2'!I250</f>
        <v>0</v>
      </c>
      <c r="V9" s="614">
        <f>'Pro 2'!J250</f>
        <v>0</v>
      </c>
      <c r="W9" s="614">
        <f>'Pro 2'!K250</f>
        <v>0</v>
      </c>
      <c r="X9" s="615">
        <f>'Pro 2'!L250</f>
        <v>0</v>
      </c>
      <c r="Y9" s="614">
        <f>'Pro 2'!E251/1000</f>
        <v>0</v>
      </c>
      <c r="Z9" s="614">
        <f>'Pro 2'!F251/1000</f>
        <v>0</v>
      </c>
      <c r="AA9" s="614">
        <f>'Pro 2'!G251/1000</f>
        <v>0</v>
      </c>
      <c r="AB9" s="614">
        <f>'Pro 2'!H251/1000</f>
        <v>0</v>
      </c>
      <c r="AC9" s="614">
        <f>'Pro 2'!I251/1000</f>
        <v>0</v>
      </c>
      <c r="AD9" s="614">
        <f>'Pro 2'!J251/1000</f>
        <v>0</v>
      </c>
      <c r="AE9" s="614">
        <f>'Pro 2'!K251/1000</f>
        <v>0</v>
      </c>
      <c r="AF9" s="615">
        <f>'Pro 2'!L251/1000</f>
        <v>0</v>
      </c>
      <c r="AG9" s="622">
        <f t="shared" si="0"/>
        <v>0</v>
      </c>
      <c r="AH9" s="622">
        <f t="shared" si="0"/>
        <v>0</v>
      </c>
      <c r="AI9" s="622">
        <f t="shared" si="0"/>
        <v>0</v>
      </c>
      <c r="AJ9" s="622">
        <f t="shared" si="0"/>
        <v>0</v>
      </c>
      <c r="AK9" s="622">
        <f t="shared" si="0"/>
        <v>0</v>
      </c>
      <c r="AL9" s="622">
        <f t="shared" si="0"/>
        <v>0</v>
      </c>
      <c r="AM9" s="622">
        <f t="shared" si="0"/>
        <v>0</v>
      </c>
      <c r="AN9" s="623">
        <f t="shared" si="0"/>
        <v>0</v>
      </c>
    </row>
  </sheetData>
  <sheetProtection algorithmName="SHA-512" hashValue="74j4klw3lWTQO+LNJ1Pbey0v88lGkantbsDhCkLNtYxB1lg3hB8nG4lm2gwWMn6j2NaEv0VZiwNj25ZobtHkzg==" saltValue="Kx5alYP0Avg4Pm5xeoV2jQ==" spinCount="100000" sheet="1" objects="1" scenarios="1" selectLockedCells="1"/>
  <dataValidations count="1">
    <dataValidation type="list" allowBlank="1" showInputMessage="1" showErrorMessage="1" sqref="C5:C9" xr:uid="{F14FC9D5-D080-446C-B6C0-EBFA11B5AE10}">
      <formula1>$C$1:$C$2</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topLeftCell="A66" workbookViewId="0">
      <selection activeCell="I97" sqref="I97"/>
    </sheetView>
  </sheetViews>
  <sheetFormatPr defaultColWidth="9.28515625" defaultRowHeight="12.75" x14ac:dyDescent="0.2"/>
  <cols>
    <col min="1" max="2" width="9.28515625" style="54"/>
    <col min="3" max="3" width="12.42578125" style="54" customWidth="1"/>
    <col min="4" max="4" width="57.7109375" style="54" customWidth="1"/>
    <col min="5" max="15" width="9.28515625" style="54"/>
    <col min="16" max="16" width="24" style="54" customWidth="1"/>
    <col min="17" max="16384" width="9.28515625" style="54"/>
  </cols>
  <sheetData>
    <row r="3" spans="4:27" x14ac:dyDescent="0.2">
      <c r="D3" s="115" t="s">
        <v>466</v>
      </c>
      <c r="E3" s="57" t="s">
        <v>467</v>
      </c>
      <c r="F3" s="57"/>
      <c r="G3" s="57"/>
      <c r="H3" s="57"/>
      <c r="I3" s="57"/>
      <c r="J3" s="57"/>
      <c r="K3" s="57" t="s">
        <v>41</v>
      </c>
      <c r="L3" s="57"/>
      <c r="M3" s="57"/>
      <c r="N3" s="57"/>
      <c r="O3" s="57"/>
      <c r="P3" s="57"/>
      <c r="Q3" s="57"/>
      <c r="R3" s="57"/>
      <c r="S3" s="58"/>
    </row>
    <row r="4" spans="4:27" x14ac:dyDescent="0.2">
      <c r="D4" s="60"/>
      <c r="E4" s="98"/>
      <c r="F4" s="98">
        <v>2022</v>
      </c>
      <c r="G4" s="98">
        <v>2023</v>
      </c>
      <c r="H4" s="98">
        <v>2024</v>
      </c>
      <c r="I4" s="98"/>
      <c r="J4" s="98"/>
      <c r="K4" s="98"/>
      <c r="L4" s="98">
        <v>2022</v>
      </c>
      <c r="M4" s="98">
        <v>2023</v>
      </c>
      <c r="N4" s="98">
        <v>2024</v>
      </c>
      <c r="O4" s="98"/>
      <c r="P4" s="98"/>
      <c r="Q4" s="98"/>
      <c r="R4" s="98"/>
      <c r="S4" s="61"/>
      <c r="Z4" s="98"/>
      <c r="AA4" s="98"/>
    </row>
    <row r="5" spans="4:27" x14ac:dyDescent="0.2">
      <c r="D5" s="60" t="s">
        <v>469</v>
      </c>
      <c r="E5" s="98"/>
      <c r="F5" s="98"/>
      <c r="G5" s="98"/>
      <c r="H5" s="98"/>
      <c r="I5" s="98"/>
      <c r="J5" s="98" t="s">
        <v>469</v>
      </c>
      <c r="K5" s="98"/>
      <c r="L5" s="98"/>
      <c r="M5" s="98"/>
      <c r="N5" s="98"/>
      <c r="O5" s="98"/>
      <c r="P5" s="98" t="s">
        <v>468</v>
      </c>
      <c r="Q5" s="98"/>
      <c r="R5" s="98"/>
      <c r="S5" s="61"/>
      <c r="Z5" s="98"/>
      <c r="AA5" s="98"/>
    </row>
    <row r="6" spans="4:27" x14ac:dyDescent="0.2">
      <c r="D6" s="60"/>
      <c r="E6" s="98"/>
      <c r="F6" s="98"/>
      <c r="G6" s="98"/>
      <c r="H6" s="98"/>
      <c r="I6" s="98"/>
      <c r="J6" s="98"/>
      <c r="K6" s="98"/>
      <c r="L6" s="98"/>
      <c r="M6" s="98"/>
      <c r="N6" s="98"/>
      <c r="O6" s="98"/>
      <c r="P6" s="98"/>
      <c r="Q6" s="98">
        <v>2022</v>
      </c>
      <c r="R6" s="98">
        <v>2023</v>
      </c>
      <c r="S6" s="61">
        <v>2024</v>
      </c>
      <c r="Z6" s="98"/>
      <c r="AA6" s="98"/>
    </row>
    <row r="7" spans="4:27" ht="13.5" thickBot="1" x14ac:dyDescent="0.25">
      <c r="D7" s="60" t="s">
        <v>471</v>
      </c>
      <c r="E7" s="98"/>
      <c r="F7" s="98"/>
      <c r="G7" s="98"/>
      <c r="H7" s="98"/>
      <c r="I7" s="98"/>
      <c r="J7" s="98" t="s">
        <v>471</v>
      </c>
      <c r="K7" s="98"/>
      <c r="L7" s="98"/>
      <c r="M7" s="98"/>
      <c r="N7" s="98"/>
      <c r="O7" s="98"/>
      <c r="P7" s="98" t="s">
        <v>470</v>
      </c>
      <c r="Q7" s="98"/>
      <c r="R7" s="98"/>
      <c r="S7" s="61"/>
      <c r="Z7" s="98"/>
      <c r="AA7" s="98"/>
    </row>
    <row r="8" spans="4:27" x14ac:dyDescent="0.2">
      <c r="D8" s="60" t="s">
        <v>472</v>
      </c>
      <c r="E8" s="98"/>
      <c r="F8" s="55">
        <f>'Pro 1'!G21</f>
        <v>0</v>
      </c>
      <c r="G8" s="55">
        <f>'Pro 1'!H21</f>
        <v>0</v>
      </c>
      <c r="H8" s="55">
        <f>'Pro 1'!I21</f>
        <v>0</v>
      </c>
      <c r="I8" s="98"/>
      <c r="J8" s="98" t="s">
        <v>472</v>
      </c>
      <c r="K8" s="98"/>
      <c r="L8" s="55">
        <f>'Pro 1'!G22</f>
        <v>0</v>
      </c>
      <c r="M8" s="55">
        <f>'Pro 1'!H22</f>
        <v>0</v>
      </c>
      <c r="N8" s="55">
        <f>'Pro 1'!I22</f>
        <v>0</v>
      </c>
      <c r="O8" s="98"/>
      <c r="P8" s="98" t="s">
        <v>390</v>
      </c>
      <c r="Q8" s="98">
        <f>'Pro 3'!G24</f>
        <v>0</v>
      </c>
      <c r="R8" s="98">
        <f>'Pro 3'!H24</f>
        <v>0</v>
      </c>
      <c r="S8" s="61">
        <f>'Pro 3'!I24</f>
        <v>0</v>
      </c>
      <c r="Z8" s="98"/>
      <c r="AA8" s="98"/>
    </row>
    <row r="9" spans="4:27" x14ac:dyDescent="0.2">
      <c r="D9" s="60"/>
      <c r="E9" s="98"/>
      <c r="F9" s="98"/>
      <c r="G9" s="98"/>
      <c r="H9" s="98"/>
      <c r="I9" s="98"/>
      <c r="J9" s="98"/>
      <c r="K9" s="98"/>
      <c r="L9" s="98"/>
      <c r="M9" s="98"/>
      <c r="N9" s="98"/>
      <c r="O9" s="98"/>
      <c r="P9" s="98" t="s">
        <v>384</v>
      </c>
      <c r="Q9" s="98">
        <f>'Pro 3'!G25</f>
        <v>0</v>
      </c>
      <c r="R9" s="98">
        <f>'Pro 3'!H25</f>
        <v>0</v>
      </c>
      <c r="S9" s="61">
        <f>'Pro 3'!I25</f>
        <v>0</v>
      </c>
      <c r="Z9" s="98"/>
      <c r="AA9" s="98"/>
    </row>
    <row r="10" spans="4:27" x14ac:dyDescent="0.2">
      <c r="D10" s="60" t="s">
        <v>470</v>
      </c>
      <c r="E10" s="98"/>
      <c r="F10" s="98"/>
      <c r="G10" s="98"/>
      <c r="H10" s="98"/>
      <c r="I10" s="98"/>
      <c r="J10" s="98" t="s">
        <v>470</v>
      </c>
      <c r="K10" s="98"/>
      <c r="L10" s="98"/>
      <c r="M10" s="98"/>
      <c r="N10" s="98"/>
      <c r="O10" s="98"/>
      <c r="P10" s="98" t="s">
        <v>473</v>
      </c>
      <c r="Q10" s="98"/>
      <c r="R10" s="98"/>
      <c r="S10" s="61"/>
      <c r="Z10" s="98"/>
      <c r="AA10" s="98"/>
    </row>
    <row r="11" spans="4:27" x14ac:dyDescent="0.2">
      <c r="D11" s="60" t="s">
        <v>167</v>
      </c>
      <c r="E11" s="98"/>
      <c r="F11" s="98">
        <f>'Pro 3'!H45/1000</f>
        <v>0</v>
      </c>
      <c r="G11" s="98">
        <f>'Pro 3'!I45/1000</f>
        <v>0</v>
      </c>
      <c r="H11" s="98">
        <f>'Pro 3'!J45/1000</f>
        <v>0</v>
      </c>
      <c r="I11" s="98"/>
      <c r="J11" s="98" t="s">
        <v>167</v>
      </c>
      <c r="K11" s="98"/>
      <c r="L11" s="98">
        <f>'Pro 3'!H57/1000</f>
        <v>0</v>
      </c>
      <c r="M11" s="98">
        <f>'Pro 3'!I57/1000</f>
        <v>0</v>
      </c>
      <c r="N11" s="98">
        <f>'Pro 3'!J57/1000</f>
        <v>0</v>
      </c>
      <c r="O11" s="98"/>
      <c r="P11" s="98" t="s">
        <v>387</v>
      </c>
      <c r="Q11" s="98">
        <f>'Pro 3'!G27</f>
        <v>0</v>
      </c>
      <c r="R11" s="98">
        <f>'Pro 3'!H27</f>
        <v>0</v>
      </c>
      <c r="S11" s="61">
        <f>'Pro 3'!I27</f>
        <v>0</v>
      </c>
      <c r="Z11" s="98"/>
      <c r="AA11" s="98"/>
    </row>
    <row r="12" spans="4:27" x14ac:dyDescent="0.2">
      <c r="D12" s="60" t="s">
        <v>474</v>
      </c>
      <c r="E12" s="98"/>
      <c r="F12" s="98">
        <f>SUM('Pro 3'!H46:H49)/1000</f>
        <v>0</v>
      </c>
      <c r="G12" s="98">
        <f>SUM('Pro 3'!I46:I49)/1000</f>
        <v>0</v>
      </c>
      <c r="H12" s="98">
        <f>SUM('Pro 3'!J46:J49)/1000</f>
        <v>0</v>
      </c>
      <c r="I12" s="98"/>
      <c r="J12" s="98" t="s">
        <v>474</v>
      </c>
      <c r="K12" s="98"/>
      <c r="L12" s="98">
        <f>SUM('Pro 3'!H58:H61)/1000</f>
        <v>0</v>
      </c>
      <c r="M12" s="98">
        <f>SUM('Pro 3'!I58:I61)/1000</f>
        <v>0</v>
      </c>
      <c r="N12" s="98">
        <f>SUM('Pro 3'!J58:J61)/1000</f>
        <v>0</v>
      </c>
      <c r="O12" s="98"/>
      <c r="P12" s="98" t="s">
        <v>386</v>
      </c>
      <c r="Q12" s="98">
        <f>'Pro 3'!G28</f>
        <v>0</v>
      </c>
      <c r="R12" s="98">
        <f>'Pro 3'!H28</f>
        <v>0</v>
      </c>
      <c r="S12" s="61">
        <f>'Pro 3'!I28</f>
        <v>0</v>
      </c>
      <c r="Z12" s="98"/>
      <c r="AA12" s="98"/>
    </row>
    <row r="13" spans="4:27" x14ac:dyDescent="0.2">
      <c r="D13" s="60" t="s">
        <v>475</v>
      </c>
      <c r="E13" s="98"/>
      <c r="F13" s="98">
        <f>'Pro 3'!H50/1000</f>
        <v>0</v>
      </c>
      <c r="G13" s="98">
        <f>'Pro 3'!I50/1000</f>
        <v>0</v>
      </c>
      <c r="H13" s="98">
        <f>'Pro 3'!J50/1000</f>
        <v>0</v>
      </c>
      <c r="I13" s="98"/>
      <c r="J13" s="98" t="s">
        <v>475</v>
      </c>
      <c r="K13" s="98"/>
      <c r="L13" s="98">
        <f>'Pro 3'!H62/1000</f>
        <v>0</v>
      </c>
      <c r="M13" s="98">
        <f>'Pro 3'!I62/1000</f>
        <v>0</v>
      </c>
      <c r="N13" s="98">
        <f>'Pro 3'!J62/1000</f>
        <v>0</v>
      </c>
      <c r="O13" s="98"/>
      <c r="P13" s="98" t="s">
        <v>476</v>
      </c>
      <c r="Q13" s="98">
        <f>'Pro 3'!G29</f>
        <v>0</v>
      </c>
      <c r="R13" s="98">
        <f>'Pro 3'!H29</f>
        <v>0</v>
      </c>
      <c r="S13" s="61">
        <f>'Pro 3'!I29</f>
        <v>0</v>
      </c>
      <c r="Z13" s="98"/>
      <c r="AA13" s="98"/>
    </row>
    <row r="14" spans="4:27" ht="13.5" thickBot="1" x14ac:dyDescent="0.25">
      <c r="D14" s="60" t="s">
        <v>447</v>
      </c>
      <c r="E14" s="98"/>
      <c r="F14" s="98">
        <f>'Pro 3'!H51/1000</f>
        <v>0</v>
      </c>
      <c r="G14" s="98">
        <f>'Pro 3'!I51/1000</f>
        <v>0</v>
      </c>
      <c r="H14" s="98">
        <f>'Pro 3'!J51/1000</f>
        <v>0</v>
      </c>
      <c r="I14" s="98"/>
      <c r="J14" s="98" t="s">
        <v>447</v>
      </c>
      <c r="K14" s="98"/>
      <c r="L14" s="98">
        <f>'Pro 3'!H63/1000</f>
        <v>0</v>
      </c>
      <c r="M14" s="98">
        <f>'Pro 3'!I63/1000</f>
        <v>0</v>
      </c>
      <c r="N14" s="98">
        <f>'Pro 3'!J63/1000</f>
        <v>0</v>
      </c>
      <c r="O14" s="98"/>
      <c r="P14" s="98" t="s">
        <v>478</v>
      </c>
      <c r="Q14" s="56"/>
      <c r="R14" s="56"/>
      <c r="S14" s="114"/>
      <c r="Z14" s="98"/>
      <c r="AA14" s="98"/>
    </row>
    <row r="15" spans="4:27" x14ac:dyDescent="0.2">
      <c r="D15" s="60" t="s">
        <v>477</v>
      </c>
      <c r="E15" s="98"/>
      <c r="F15" s="98">
        <f>'Pro 3'!H52/1000</f>
        <v>0</v>
      </c>
      <c r="G15" s="98">
        <f>'Pro 3'!I52/1000</f>
        <v>0</v>
      </c>
      <c r="H15" s="98">
        <f>'Pro 3'!J52/1000</f>
        <v>0</v>
      </c>
      <c r="I15" s="98"/>
      <c r="J15" s="98" t="s">
        <v>477</v>
      </c>
      <c r="K15" s="98"/>
      <c r="L15" s="98">
        <f>'Pro 3'!H64/1000</f>
        <v>0</v>
      </c>
      <c r="M15" s="98">
        <f>'Pro 3'!I64/1000</f>
        <v>0</v>
      </c>
      <c r="N15" s="98">
        <f>'Pro 3'!J64/1000</f>
        <v>0</v>
      </c>
      <c r="O15" s="98"/>
      <c r="P15" s="98"/>
      <c r="Q15" s="98"/>
      <c r="R15" s="98"/>
      <c r="S15" s="61"/>
      <c r="Z15" s="98"/>
      <c r="AA15" s="98"/>
    </row>
    <row r="16" spans="4:27" x14ac:dyDescent="0.2">
      <c r="D16" s="60" t="s">
        <v>479</v>
      </c>
      <c r="E16" s="98"/>
      <c r="F16" s="98"/>
      <c r="G16" s="98"/>
      <c r="H16" s="98"/>
      <c r="I16" s="98"/>
      <c r="J16" s="98" t="s">
        <v>479</v>
      </c>
      <c r="K16" s="98"/>
      <c r="L16" s="98"/>
      <c r="M16" s="98"/>
      <c r="N16" s="98"/>
      <c r="O16" s="98"/>
      <c r="P16" s="98"/>
      <c r="Q16" s="98"/>
      <c r="R16" s="98"/>
      <c r="S16" s="61"/>
      <c r="Z16" s="98"/>
      <c r="AA16" s="98"/>
    </row>
    <row r="17" spans="4:27" x14ac:dyDescent="0.2">
      <c r="D17" s="60"/>
      <c r="E17" s="98"/>
      <c r="F17" s="98"/>
      <c r="G17" s="98"/>
      <c r="H17" s="98"/>
      <c r="I17" s="98"/>
      <c r="J17" s="98"/>
      <c r="K17" s="98"/>
      <c r="L17" s="98"/>
      <c r="M17" s="98"/>
      <c r="N17" s="98"/>
      <c r="O17" s="98"/>
      <c r="P17" s="98"/>
      <c r="Q17" s="98"/>
      <c r="R17" s="98"/>
      <c r="S17" s="61"/>
      <c r="Z17" s="98"/>
      <c r="AA17" s="98"/>
    </row>
    <row r="18" spans="4:27" x14ac:dyDescent="0.2">
      <c r="D18" s="60" t="s">
        <v>480</v>
      </c>
      <c r="E18" s="98"/>
      <c r="F18" s="98"/>
      <c r="G18" s="98"/>
      <c r="H18" s="98"/>
      <c r="I18" s="98"/>
      <c r="J18" s="98" t="s">
        <v>480</v>
      </c>
      <c r="K18" s="98"/>
      <c r="L18" s="98"/>
      <c r="M18" s="98"/>
      <c r="N18" s="98"/>
      <c r="O18" s="98"/>
      <c r="P18" s="98"/>
      <c r="Q18" s="98"/>
      <c r="R18" s="98"/>
      <c r="S18" s="61"/>
      <c r="Z18" s="98"/>
      <c r="AA18" s="98"/>
    </row>
    <row r="19" spans="4:27" x14ac:dyDescent="0.2">
      <c r="D19" s="60"/>
      <c r="E19" s="98"/>
      <c r="F19" s="98"/>
      <c r="G19" s="98"/>
      <c r="H19" s="98"/>
      <c r="I19" s="98"/>
      <c r="J19" s="98"/>
      <c r="K19" s="98"/>
      <c r="L19" s="98"/>
      <c r="M19" s="98"/>
      <c r="N19" s="98"/>
      <c r="O19" s="98"/>
      <c r="P19" s="98"/>
      <c r="Q19" s="98"/>
      <c r="R19" s="98"/>
      <c r="S19" s="61"/>
    </row>
    <row r="20" spans="4:27" x14ac:dyDescent="0.2">
      <c r="D20" s="60" t="s">
        <v>481</v>
      </c>
      <c r="E20" s="98"/>
      <c r="F20" s="98" t="e">
        <f>'Pro 2'!H29+'Pro 2'!H35+'Pro 2'!#REF!+'Pro 2'!#REF!</f>
        <v>#REF!</v>
      </c>
      <c r="G20" s="98" t="e">
        <f>'Pro 2'!I29+'Pro 2'!I35+'Pro 2'!#REF!+'Pro 2'!#REF!</f>
        <v>#REF!</v>
      </c>
      <c r="H20" s="98" t="e">
        <f>'Pro 2'!J29+'Pro 2'!J35+'Pro 2'!#REF!+'Pro 2'!#REF!</f>
        <v>#REF!</v>
      </c>
      <c r="I20" s="98"/>
      <c r="J20" s="98" t="s">
        <v>481</v>
      </c>
      <c r="K20" s="98"/>
      <c r="L20" s="98">
        <f>'Pro 2'!H41</f>
        <v>0</v>
      </c>
      <c r="M20" s="98">
        <f>'Pro 2'!I41</f>
        <v>0</v>
      </c>
      <c r="N20" s="98">
        <f>'Pro 2'!J41</f>
        <v>0</v>
      </c>
      <c r="O20" s="98"/>
      <c r="P20" s="98"/>
      <c r="Q20" s="98"/>
      <c r="R20" s="98"/>
      <c r="S20" s="61"/>
    </row>
    <row r="21" spans="4:27" x14ac:dyDescent="0.2">
      <c r="D21" s="60"/>
      <c r="E21" s="98"/>
      <c r="F21" s="98"/>
      <c r="G21" s="98"/>
      <c r="H21" s="98"/>
      <c r="I21" s="98"/>
      <c r="J21" s="98"/>
      <c r="K21" s="98"/>
      <c r="L21" s="98"/>
      <c r="M21" s="98"/>
      <c r="N21" s="98"/>
      <c r="O21" s="98"/>
      <c r="P21" s="98"/>
      <c r="Q21" s="98"/>
      <c r="R21" s="98"/>
      <c r="S21" s="61"/>
      <c r="T21" s="98"/>
    </row>
    <row r="22" spans="4:27" x14ac:dyDescent="0.2">
      <c r="D22" s="60" t="s">
        <v>470</v>
      </c>
      <c r="E22" s="98"/>
      <c r="F22" s="98"/>
      <c r="G22" s="98"/>
      <c r="H22" s="98"/>
      <c r="I22" s="98"/>
      <c r="J22" s="98" t="s">
        <v>470</v>
      </c>
      <c r="K22" s="98"/>
      <c r="L22" s="98"/>
      <c r="M22" s="98"/>
      <c r="N22" s="98"/>
      <c r="O22" s="98"/>
      <c r="P22" s="98"/>
      <c r="Q22" s="98"/>
      <c r="R22" s="98"/>
      <c r="S22" s="61"/>
      <c r="T22" s="98"/>
    </row>
    <row r="23" spans="4:27" x14ac:dyDescent="0.2">
      <c r="D23" s="60" t="s">
        <v>390</v>
      </c>
      <c r="E23" s="98"/>
      <c r="F23" s="98">
        <f>'Pro 3'!G199</f>
        <v>0</v>
      </c>
      <c r="G23" s="98">
        <f>'Pro 3'!H199</f>
        <v>0</v>
      </c>
      <c r="H23" s="98">
        <f>'Pro 3'!I199</f>
        <v>0</v>
      </c>
      <c r="I23" s="98"/>
      <c r="J23" s="98" t="s">
        <v>390</v>
      </c>
      <c r="K23" s="98"/>
      <c r="L23" s="98">
        <f>'Pro 3'!G213</f>
        <v>0</v>
      </c>
      <c r="M23" s="98">
        <f>'Pro 3'!H213</f>
        <v>0</v>
      </c>
      <c r="N23" s="98">
        <f>'Pro 3'!I213</f>
        <v>0</v>
      </c>
      <c r="O23" s="98"/>
      <c r="P23" s="98"/>
      <c r="Q23" s="98"/>
      <c r="R23" s="98"/>
      <c r="S23" s="61"/>
      <c r="T23" s="98"/>
    </row>
    <row r="24" spans="4:27" x14ac:dyDescent="0.2">
      <c r="D24" s="60"/>
      <c r="E24" s="98"/>
      <c r="F24" s="98"/>
      <c r="G24" s="98"/>
      <c r="H24" s="98"/>
      <c r="I24" s="98"/>
      <c r="J24" s="98"/>
      <c r="K24" s="98"/>
      <c r="L24" s="98"/>
      <c r="M24" s="98"/>
      <c r="N24" s="98"/>
      <c r="O24" s="98"/>
      <c r="P24" s="98"/>
      <c r="Q24" s="98"/>
      <c r="R24" s="98"/>
      <c r="S24" s="61"/>
      <c r="T24" s="98"/>
    </row>
    <row r="25" spans="4:27" x14ac:dyDescent="0.2">
      <c r="D25" s="60"/>
      <c r="E25" s="98"/>
      <c r="F25" s="98"/>
      <c r="G25" s="98"/>
      <c r="H25" s="98"/>
      <c r="I25" s="98"/>
      <c r="J25" s="98"/>
      <c r="K25" s="98"/>
      <c r="L25" s="98"/>
      <c r="M25" s="98"/>
      <c r="N25" s="98"/>
      <c r="O25" s="98"/>
      <c r="P25" s="98"/>
      <c r="Q25" s="98"/>
      <c r="R25" s="98"/>
      <c r="S25" s="61"/>
      <c r="T25" s="98"/>
    </row>
    <row r="26" spans="4:27" x14ac:dyDescent="0.2">
      <c r="D26" s="60"/>
      <c r="E26" s="98"/>
      <c r="F26" s="98"/>
      <c r="G26" s="98"/>
      <c r="H26" s="98"/>
      <c r="I26" s="98"/>
      <c r="J26" s="98"/>
      <c r="K26" s="98"/>
      <c r="L26" s="98"/>
      <c r="M26" s="98"/>
      <c r="N26" s="98"/>
      <c r="O26" s="98"/>
      <c r="P26" s="98"/>
      <c r="Q26" s="98"/>
      <c r="R26" s="98"/>
      <c r="S26" s="61"/>
      <c r="T26" s="98"/>
    </row>
    <row r="27" spans="4:27" x14ac:dyDescent="0.2">
      <c r="D27" s="60" t="s">
        <v>167</v>
      </c>
      <c r="E27" s="98"/>
      <c r="F27" s="98">
        <f>'Pro 3'!G200</f>
        <v>0</v>
      </c>
      <c r="G27" s="98">
        <f>'Pro 3'!H200</f>
        <v>0</v>
      </c>
      <c r="H27" s="98">
        <f>'Pro 3'!I200</f>
        <v>0</v>
      </c>
      <c r="I27" s="98"/>
      <c r="J27" s="98" t="s">
        <v>167</v>
      </c>
      <c r="K27" s="98"/>
      <c r="L27" s="98">
        <f>'Pro 3'!G214</f>
        <v>0</v>
      </c>
      <c r="M27" s="98">
        <f>'Pro 3'!H214</f>
        <v>0</v>
      </c>
      <c r="N27" s="98">
        <f>'Pro 3'!I214</f>
        <v>0</v>
      </c>
      <c r="O27" s="98"/>
      <c r="P27" s="98"/>
      <c r="Q27" s="98"/>
      <c r="R27" s="98"/>
      <c r="S27" s="61"/>
      <c r="T27" s="98"/>
    </row>
    <row r="28" spans="4:27" x14ac:dyDescent="0.2">
      <c r="D28" s="60" t="s">
        <v>479</v>
      </c>
      <c r="E28" s="98"/>
      <c r="F28" s="98"/>
      <c r="G28" s="98"/>
      <c r="H28" s="98"/>
      <c r="I28" s="98"/>
      <c r="J28" s="98" t="s">
        <v>479</v>
      </c>
      <c r="K28" s="98"/>
      <c r="L28" s="98"/>
      <c r="M28" s="98"/>
      <c r="N28" s="98"/>
      <c r="O28" s="98"/>
      <c r="P28" s="98"/>
      <c r="Q28" s="98"/>
      <c r="R28" s="98"/>
      <c r="S28" s="61"/>
      <c r="T28" s="98"/>
    </row>
    <row r="29" spans="4:27" x14ac:dyDescent="0.2">
      <c r="D29" s="60" t="s">
        <v>168</v>
      </c>
      <c r="E29" s="98"/>
      <c r="F29" s="98">
        <f>'Pro 3'!G202</f>
        <v>0</v>
      </c>
      <c r="G29" s="98">
        <f>'Pro 3'!H202</f>
        <v>0</v>
      </c>
      <c r="H29" s="98">
        <f>'Pro 3'!I202</f>
        <v>0</v>
      </c>
      <c r="I29" s="98"/>
      <c r="J29" s="98" t="s">
        <v>168</v>
      </c>
      <c r="K29" s="98"/>
      <c r="L29" s="98">
        <f>'Pro 3'!G216</f>
        <v>0</v>
      </c>
      <c r="M29" s="98">
        <f>'Pro 3'!H216</f>
        <v>0</v>
      </c>
      <c r="N29" s="98">
        <f>'Pro 3'!I216</f>
        <v>0</v>
      </c>
      <c r="O29" s="98"/>
      <c r="P29" s="98"/>
      <c r="Q29" s="98"/>
      <c r="R29" s="98"/>
      <c r="S29" s="61"/>
      <c r="T29" s="98"/>
    </row>
    <row r="30" spans="4:27" x14ac:dyDescent="0.2">
      <c r="D30" s="60" t="s">
        <v>384</v>
      </c>
      <c r="E30" s="98"/>
      <c r="F30" s="98"/>
      <c r="G30" s="98"/>
      <c r="H30" s="98"/>
      <c r="I30" s="98"/>
      <c r="J30" s="98" t="s">
        <v>384</v>
      </c>
      <c r="K30" s="98"/>
      <c r="L30" s="98"/>
      <c r="M30" s="98"/>
      <c r="N30" s="98"/>
      <c r="O30" s="98"/>
      <c r="P30" s="98"/>
      <c r="Q30" s="98"/>
      <c r="R30" s="98"/>
      <c r="S30" s="61"/>
      <c r="T30" s="98"/>
    </row>
    <row r="31" spans="4:27" x14ac:dyDescent="0.2">
      <c r="D31" s="60" t="s">
        <v>473</v>
      </c>
      <c r="E31" s="98"/>
      <c r="F31" s="98"/>
      <c r="G31" s="98"/>
      <c r="H31" s="98"/>
      <c r="I31" s="98"/>
      <c r="J31" s="98" t="s">
        <v>473</v>
      </c>
      <c r="K31" s="98"/>
      <c r="L31" s="98"/>
      <c r="M31" s="98"/>
      <c r="N31" s="98"/>
      <c r="O31" s="98"/>
      <c r="P31" s="98"/>
      <c r="Q31" s="98"/>
      <c r="R31" s="98"/>
      <c r="S31" s="61"/>
      <c r="T31" s="98"/>
    </row>
    <row r="32" spans="4:27" x14ac:dyDescent="0.2">
      <c r="D32" s="60" t="s">
        <v>387</v>
      </c>
      <c r="E32" s="98"/>
      <c r="F32" s="98">
        <f>'Pro 3'!G205</f>
        <v>0</v>
      </c>
      <c r="G32" s="98">
        <f>'Pro 3'!H205</f>
        <v>0</v>
      </c>
      <c r="H32" s="98">
        <f>'Pro 3'!I205</f>
        <v>0</v>
      </c>
      <c r="I32" s="98"/>
      <c r="J32" s="98" t="s">
        <v>387</v>
      </c>
      <c r="K32" s="98"/>
      <c r="L32" s="98">
        <f>'Pro 3'!G219</f>
        <v>0</v>
      </c>
      <c r="M32" s="98">
        <f>'Pro 3'!H219</f>
        <v>0</v>
      </c>
      <c r="N32" s="98">
        <f>'Pro 3'!I219</f>
        <v>0</v>
      </c>
      <c r="O32" s="98"/>
      <c r="P32" s="98"/>
      <c r="Q32" s="98"/>
      <c r="R32" s="98"/>
      <c r="S32" s="61"/>
      <c r="T32" s="98"/>
    </row>
    <row r="33" spans="4:20" x14ac:dyDescent="0.2">
      <c r="D33" s="60" t="s">
        <v>386</v>
      </c>
      <c r="E33" s="98"/>
      <c r="F33" s="98">
        <f>'Pro 3'!G206</f>
        <v>0</v>
      </c>
      <c r="G33" s="98">
        <f>'Pro 3'!H206</f>
        <v>0</v>
      </c>
      <c r="H33" s="98">
        <f>'Pro 3'!I206</f>
        <v>0</v>
      </c>
      <c r="I33" s="98"/>
      <c r="J33" s="98" t="s">
        <v>386</v>
      </c>
      <c r="K33" s="98"/>
      <c r="L33" s="98">
        <f>'Pro 3'!G220</f>
        <v>0</v>
      </c>
      <c r="M33" s="98">
        <f>'Pro 3'!H220</f>
        <v>0</v>
      </c>
      <c r="N33" s="98">
        <f>'Pro 3'!I220</f>
        <v>0</v>
      </c>
      <c r="O33" s="98"/>
      <c r="P33" s="98"/>
      <c r="Q33" s="98"/>
      <c r="R33" s="98"/>
      <c r="S33" s="61"/>
      <c r="T33" s="98"/>
    </row>
    <row r="34" spans="4:20" ht="13.5" thickBot="1" x14ac:dyDescent="0.25">
      <c r="D34" s="60" t="s">
        <v>476</v>
      </c>
      <c r="E34" s="98"/>
      <c r="F34" s="56">
        <f>'Pro 3'!G207</f>
        <v>0</v>
      </c>
      <c r="G34" s="56">
        <f>'Pro 3'!H207</f>
        <v>0</v>
      </c>
      <c r="H34" s="56">
        <f>'Pro 3'!I207</f>
        <v>0</v>
      </c>
      <c r="I34" s="98"/>
      <c r="J34" s="98" t="s">
        <v>476</v>
      </c>
      <c r="K34" s="98"/>
      <c r="L34" s="56">
        <f>'Pro 3'!G221</f>
        <v>0</v>
      </c>
      <c r="M34" s="56">
        <f>'Pro 3'!H221</f>
        <v>0</v>
      </c>
      <c r="N34" s="56">
        <f>'Pro 3'!I221</f>
        <v>0</v>
      </c>
      <c r="O34" s="98"/>
      <c r="P34" s="98"/>
      <c r="Q34" s="98"/>
      <c r="R34" s="98"/>
      <c r="S34" s="61"/>
      <c r="T34" s="98"/>
    </row>
    <row r="35" spans="4:20" x14ac:dyDescent="0.2">
      <c r="D35" s="63" t="s">
        <v>478</v>
      </c>
      <c r="E35" s="64"/>
      <c r="F35" s="64"/>
      <c r="G35" s="64"/>
      <c r="H35" s="64"/>
      <c r="I35" s="64"/>
      <c r="J35" s="64" t="s">
        <v>478</v>
      </c>
      <c r="K35" s="64"/>
      <c r="L35" s="64"/>
      <c r="M35" s="64"/>
      <c r="N35" s="64"/>
      <c r="O35" s="64"/>
      <c r="P35" s="64"/>
      <c r="Q35" s="64"/>
      <c r="R35" s="64"/>
      <c r="S35" s="65"/>
      <c r="T35" s="98"/>
    </row>
    <row r="36" spans="4:20" x14ac:dyDescent="0.2">
      <c r="I36" s="98"/>
      <c r="R36" s="98"/>
      <c r="S36" s="98"/>
      <c r="T36" s="98"/>
    </row>
    <row r="37" spans="4:20" x14ac:dyDescent="0.2">
      <c r="D37" s="115" t="s">
        <v>482</v>
      </c>
      <c r="E37" s="57"/>
      <c r="F37" s="57">
        <v>2022</v>
      </c>
      <c r="G37" s="57">
        <v>2023</v>
      </c>
      <c r="H37" s="57">
        <v>2024</v>
      </c>
      <c r="I37" s="57"/>
      <c r="J37" s="57"/>
      <c r="K37" s="57">
        <v>2022</v>
      </c>
      <c r="L37" s="57">
        <v>2023</v>
      </c>
      <c r="M37" s="58">
        <v>2024</v>
      </c>
      <c r="R37" s="98"/>
      <c r="S37" s="98"/>
      <c r="T37" s="98"/>
    </row>
    <row r="38" spans="4:20" x14ac:dyDescent="0.2">
      <c r="D38" s="117" t="s">
        <v>591</v>
      </c>
      <c r="E38" s="116"/>
      <c r="F38" s="59">
        <f>'Pro 3'!H46</f>
        <v>0</v>
      </c>
      <c r="G38" s="59">
        <f>'Pro 3'!I46</f>
        <v>0</v>
      </c>
      <c r="H38" s="59">
        <f>'Pro 3'!I54</f>
        <v>0</v>
      </c>
      <c r="I38" s="59"/>
      <c r="J38" s="98" t="s">
        <v>483</v>
      </c>
      <c r="K38" s="98">
        <f>'Pro 3'!H58</f>
        <v>0</v>
      </c>
      <c r="L38" s="98">
        <f>'Pro 3'!I58</f>
        <v>0</v>
      </c>
      <c r="M38" s="61">
        <f>'Pro 3'!J58</f>
        <v>0</v>
      </c>
      <c r="R38" s="98"/>
    </row>
    <row r="39" spans="4:20" x14ac:dyDescent="0.2">
      <c r="D39" s="117" t="s">
        <v>592</v>
      </c>
      <c r="E39" s="116"/>
      <c r="F39" s="59">
        <f>'Pro 3'!H47</f>
        <v>0</v>
      </c>
      <c r="G39" s="59">
        <f>'Pro 3'!I47</f>
        <v>0</v>
      </c>
      <c r="H39" s="59">
        <f>'Pro 3'!J47</f>
        <v>0</v>
      </c>
      <c r="I39" s="59"/>
      <c r="J39" s="98" t="s">
        <v>484</v>
      </c>
      <c r="K39" s="98">
        <f>'Pro 3'!H59</f>
        <v>0</v>
      </c>
      <c r="L39" s="98">
        <f>'Pro 3'!I59</f>
        <v>0</v>
      </c>
      <c r="M39" s="61">
        <f>'Pro 3'!J59</f>
        <v>0</v>
      </c>
      <c r="R39" s="98"/>
    </row>
    <row r="40" spans="4:20" x14ac:dyDescent="0.2">
      <c r="D40" s="117" t="s">
        <v>593</v>
      </c>
      <c r="E40" s="116"/>
      <c r="F40" s="59">
        <f>'Pro 3'!H48</f>
        <v>0</v>
      </c>
      <c r="G40" s="59">
        <f>'Pro 3'!I48</f>
        <v>0</v>
      </c>
      <c r="H40" s="59">
        <f>'Pro 3'!J48</f>
        <v>0</v>
      </c>
      <c r="I40" s="59"/>
      <c r="J40" s="98" t="s">
        <v>485</v>
      </c>
      <c r="K40" s="98">
        <f>'Pro 3'!H60</f>
        <v>0</v>
      </c>
      <c r="L40" s="98">
        <f>'Pro 3'!I60</f>
        <v>0</v>
      </c>
      <c r="M40" s="61">
        <f>'Pro 3'!J60</f>
        <v>0</v>
      </c>
      <c r="R40" s="98"/>
    </row>
    <row r="41" spans="4:20" x14ac:dyDescent="0.2">
      <c r="D41" s="118" t="s">
        <v>486</v>
      </c>
      <c r="E41" s="119"/>
      <c r="F41" s="62">
        <f>'Pro 3'!H49</f>
        <v>0</v>
      </c>
      <c r="G41" s="62">
        <f>'Pro 3'!I49</f>
        <v>0</v>
      </c>
      <c r="H41" s="62">
        <f>'Pro 3'!J49</f>
        <v>0</v>
      </c>
      <c r="I41" s="62"/>
      <c r="J41" s="64" t="s">
        <v>486</v>
      </c>
      <c r="K41" s="64">
        <f>'Pro 3'!H61</f>
        <v>0</v>
      </c>
      <c r="L41" s="64">
        <f>'Pro 3'!I61</f>
        <v>0</v>
      </c>
      <c r="M41" s="65">
        <f>'Pro 3'!J61</f>
        <v>0</v>
      </c>
      <c r="R41" s="98"/>
    </row>
    <row r="42" spans="4:20" x14ac:dyDescent="0.2">
      <c r="I42" s="98"/>
      <c r="J42" s="98"/>
      <c r="K42" s="98"/>
      <c r="R42" s="98"/>
    </row>
    <row r="43" spans="4:20" x14ac:dyDescent="0.2">
      <c r="D43" s="115" t="s">
        <v>487</v>
      </c>
      <c r="E43" s="112">
        <v>2021</v>
      </c>
      <c r="F43" s="112">
        <v>2022</v>
      </c>
      <c r="G43" s="112">
        <v>2023</v>
      </c>
      <c r="H43" s="57"/>
      <c r="I43" s="112"/>
      <c r="J43" s="57"/>
      <c r="K43" s="112"/>
      <c r="L43" s="970" t="s">
        <v>561</v>
      </c>
      <c r="M43" s="970"/>
      <c r="N43" s="970"/>
      <c r="O43" s="970" t="s">
        <v>562</v>
      </c>
      <c r="P43" s="970"/>
      <c r="Q43" s="970"/>
      <c r="R43" s="970" t="s">
        <v>563</v>
      </c>
      <c r="S43" s="970"/>
      <c r="T43" s="971"/>
    </row>
    <row r="44" spans="4:20" x14ac:dyDescent="0.2">
      <c r="D44" s="102"/>
      <c r="E44" s="99"/>
      <c r="F44" s="99"/>
      <c r="G44" s="99"/>
      <c r="H44" s="98"/>
      <c r="I44" s="111"/>
      <c r="J44" s="99" t="s">
        <v>555</v>
      </c>
      <c r="K44" s="99"/>
      <c r="L44" s="98">
        <v>2022</v>
      </c>
      <c r="M44" s="98">
        <v>2023</v>
      </c>
      <c r="N44" s="98">
        <v>2024</v>
      </c>
      <c r="O44" s="98">
        <v>2022</v>
      </c>
      <c r="P44" s="98">
        <v>2023</v>
      </c>
      <c r="Q44" s="98">
        <v>2024</v>
      </c>
      <c r="R44" s="98">
        <v>2022</v>
      </c>
      <c r="S44" s="98">
        <v>2023</v>
      </c>
      <c r="T44" s="61">
        <v>2024</v>
      </c>
    </row>
    <row r="45" spans="4:20" x14ac:dyDescent="0.2">
      <c r="D45" s="103" t="s">
        <v>488</v>
      </c>
      <c r="E45" s="100">
        <f>'Pro 1'!G29</f>
        <v>0</v>
      </c>
      <c r="F45" s="100">
        <f>'Pro 1'!H29</f>
        <v>0</v>
      </c>
      <c r="G45" s="100">
        <f>'Pro 1'!I29</f>
        <v>0</v>
      </c>
      <c r="H45" s="98"/>
      <c r="I45" s="67"/>
      <c r="J45" s="101" t="s">
        <v>556</v>
      </c>
      <c r="K45" s="101" t="s">
        <v>557</v>
      </c>
      <c r="L45" s="98">
        <f>'Pro 1'!G21</f>
        <v>0</v>
      </c>
      <c r="M45" s="98">
        <f>'Pro 1'!H21</f>
        <v>0</v>
      </c>
      <c r="N45" s="98">
        <f>'Pro 1'!I21</f>
        <v>0</v>
      </c>
      <c r="O45" s="98"/>
      <c r="P45" s="98"/>
      <c r="Q45" s="98"/>
      <c r="R45" s="98">
        <f>IF(L45=0,0,O45/L45)*1000</f>
        <v>0</v>
      </c>
      <c r="S45" s="98">
        <f>IF(M45=0,0,P45/M45)*1000</f>
        <v>0</v>
      </c>
      <c r="T45" s="61">
        <f>IF(N45=0,0,Q45/N45)*1000</f>
        <v>0</v>
      </c>
    </row>
    <row r="46" spans="4:20" x14ac:dyDescent="0.2">
      <c r="D46" s="102"/>
      <c r="E46" s="66"/>
      <c r="F46" s="66"/>
      <c r="G46" s="66"/>
      <c r="H46" s="98"/>
      <c r="I46" s="110"/>
      <c r="J46" s="101" t="s">
        <v>556</v>
      </c>
      <c r="K46" s="101" t="s">
        <v>558</v>
      </c>
      <c r="L46" s="98" t="e">
        <f>'Pro 1'!#REF!</f>
        <v>#REF!</v>
      </c>
      <c r="M46" s="98" t="e">
        <f>'Pro 1'!#REF!</f>
        <v>#REF!</v>
      </c>
      <c r="N46" s="98" t="e">
        <f>'Pro 1'!#REF!</f>
        <v>#REF!</v>
      </c>
      <c r="O46" s="98"/>
      <c r="P46" s="98"/>
      <c r="Q46" s="98"/>
      <c r="R46" s="98" t="e">
        <f>IF(L46=0,0,O46/L46)*1000</f>
        <v>#REF!</v>
      </c>
      <c r="S46" s="98" t="e">
        <f t="shared" ref="S46:T50" si="0">IF(M46=0,0,P46/M46)*1000</f>
        <v>#REF!</v>
      </c>
      <c r="T46" s="61" t="e">
        <f t="shared" si="0"/>
        <v>#REF!</v>
      </c>
    </row>
    <row r="47" spans="4:20" x14ac:dyDescent="0.2">
      <c r="D47" s="103" t="s">
        <v>489</v>
      </c>
      <c r="E47" s="66"/>
      <c r="F47" s="66"/>
      <c r="G47" s="66"/>
      <c r="H47" s="98"/>
      <c r="I47" s="110"/>
      <c r="J47" s="101" t="s">
        <v>559</v>
      </c>
      <c r="K47" s="101" t="s">
        <v>557</v>
      </c>
      <c r="L47" s="98">
        <f>'Pro 1'!G22</f>
        <v>0</v>
      </c>
      <c r="M47" s="98">
        <f>'Pro 1'!H22</f>
        <v>0</v>
      </c>
      <c r="N47" s="98">
        <f>'Pro 1'!I22</f>
        <v>0</v>
      </c>
      <c r="O47" s="98"/>
      <c r="P47" s="98"/>
      <c r="Q47" s="98"/>
      <c r="R47" s="98">
        <f>IF(L47=0,0,O47/L47)*1000</f>
        <v>0</v>
      </c>
      <c r="S47" s="98">
        <f t="shared" si="0"/>
        <v>0</v>
      </c>
      <c r="T47" s="61">
        <f t="shared" si="0"/>
        <v>0</v>
      </c>
    </row>
    <row r="48" spans="4:20" x14ac:dyDescent="0.2">
      <c r="D48" s="104" t="s">
        <v>490</v>
      </c>
      <c r="E48" s="67"/>
      <c r="F48" s="67"/>
      <c r="G48" s="67"/>
      <c r="H48" s="98"/>
      <c r="I48" s="67"/>
      <c r="J48" s="101" t="s">
        <v>559</v>
      </c>
      <c r="K48" s="101" t="s">
        <v>558</v>
      </c>
      <c r="L48" s="98" t="e">
        <f>'Pro 1'!#REF!</f>
        <v>#REF!</v>
      </c>
      <c r="M48" s="98" t="e">
        <f>'Pro 1'!#REF!</f>
        <v>#REF!</v>
      </c>
      <c r="N48" s="98" t="e">
        <f>'Pro 1'!#REF!</f>
        <v>#REF!</v>
      </c>
      <c r="O48" s="98"/>
      <c r="P48" s="98"/>
      <c r="Q48" s="98"/>
      <c r="R48" s="98" t="e">
        <f>IF(L48=0,0,O48/L48)*1000</f>
        <v>#REF!</v>
      </c>
      <c r="S48" s="98" t="e">
        <f t="shared" si="0"/>
        <v>#REF!</v>
      </c>
      <c r="T48" s="61" t="e">
        <f t="shared" si="0"/>
        <v>#REF!</v>
      </c>
    </row>
    <row r="49" spans="4:20" x14ac:dyDescent="0.2">
      <c r="D49" s="104" t="s">
        <v>491</v>
      </c>
      <c r="E49" s="67"/>
      <c r="F49" s="67"/>
      <c r="G49" s="67"/>
      <c r="H49" s="98"/>
      <c r="I49" s="67"/>
      <c r="J49" s="101" t="s">
        <v>560</v>
      </c>
      <c r="K49" s="101" t="s">
        <v>557</v>
      </c>
      <c r="L49" s="98">
        <f>'Pro 1'!G23</f>
        <v>0</v>
      </c>
      <c r="M49" s="98">
        <f>'Pro 1'!H23</f>
        <v>0</v>
      </c>
      <c r="N49" s="98">
        <f>'Pro 1'!I23</f>
        <v>0</v>
      </c>
      <c r="O49" s="98"/>
      <c r="P49" s="98"/>
      <c r="Q49" s="98"/>
      <c r="R49" s="98">
        <f>IF(L49=0,0,O49/L49)*1000</f>
        <v>0</v>
      </c>
      <c r="S49" s="98">
        <f>IF(M49=0,0,P49/M49)*1000</f>
        <v>0</v>
      </c>
      <c r="T49" s="61">
        <f>IF(N49=0,0,Q49/N49)*1000</f>
        <v>0</v>
      </c>
    </row>
    <row r="50" spans="4:20" x14ac:dyDescent="0.2">
      <c r="D50" s="104" t="s">
        <v>492</v>
      </c>
      <c r="E50" s="68" t="e">
        <f>'Pro 1'!G23+'Pro 1'!#REF!</f>
        <v>#REF!</v>
      </c>
      <c r="F50" s="68" t="e">
        <f>'Pro 1'!H23+'Pro 1'!#REF!</f>
        <v>#REF!</v>
      </c>
      <c r="G50" s="68" t="e">
        <f>'Pro 1'!I23+'Pro 1'!#REF!</f>
        <v>#REF!</v>
      </c>
      <c r="H50" s="98"/>
      <c r="I50" s="71"/>
      <c r="J50" s="101" t="s">
        <v>560</v>
      </c>
      <c r="K50" s="101" t="s">
        <v>558</v>
      </c>
      <c r="L50" s="98" t="e">
        <f>'Pro 1'!#REF!</f>
        <v>#REF!</v>
      </c>
      <c r="M50" s="98" t="e">
        <f>'Pro 1'!#REF!</f>
        <v>#REF!</v>
      </c>
      <c r="N50" s="98" t="e">
        <f>'Pro 1'!#REF!</f>
        <v>#REF!</v>
      </c>
      <c r="O50" s="98"/>
      <c r="P50" s="98"/>
      <c r="Q50" s="98"/>
      <c r="R50" s="98" t="e">
        <f t="shared" ref="R50" si="1">IF(L50=0,0,O50/L50)*1000</f>
        <v>#REF!</v>
      </c>
      <c r="S50" s="98" t="e">
        <f t="shared" si="0"/>
        <v>#REF!</v>
      </c>
      <c r="T50" s="61" t="e">
        <f t="shared" si="0"/>
        <v>#REF!</v>
      </c>
    </row>
    <row r="51" spans="4:20" x14ac:dyDescent="0.2">
      <c r="D51" s="105" t="s">
        <v>493</v>
      </c>
      <c r="E51" s="69"/>
      <c r="F51" s="69"/>
      <c r="G51" s="69"/>
      <c r="H51" s="98"/>
      <c r="I51" s="71"/>
      <c r="J51" s="71"/>
      <c r="K51" s="69"/>
      <c r="L51" s="98"/>
      <c r="M51" s="98"/>
      <c r="N51" s="98"/>
      <c r="O51" s="98"/>
      <c r="P51" s="98"/>
      <c r="Q51" s="98"/>
      <c r="R51" s="98"/>
      <c r="S51" s="98"/>
      <c r="T51" s="61"/>
    </row>
    <row r="52" spans="4:20" ht="12.75" customHeight="1" x14ac:dyDescent="0.2">
      <c r="D52" s="105" t="s">
        <v>494</v>
      </c>
      <c r="E52" s="69">
        <f>'Pro 1'!G26</f>
        <v>0</v>
      </c>
      <c r="F52" s="69">
        <f>'Pro 1'!H26</f>
        <v>0</v>
      </c>
      <c r="G52" s="69">
        <f>'Pro 1'!I26</f>
        <v>0</v>
      </c>
      <c r="H52" s="98"/>
      <c r="I52" s="69"/>
      <c r="J52" s="69"/>
      <c r="K52" s="69"/>
      <c r="L52" s="98"/>
      <c r="M52" s="98"/>
      <c r="N52" s="98"/>
      <c r="O52" s="98"/>
      <c r="P52" s="98"/>
      <c r="Q52" s="98"/>
      <c r="R52" s="98"/>
      <c r="S52" s="98"/>
      <c r="T52" s="61"/>
    </row>
    <row r="53" spans="4:20" x14ac:dyDescent="0.2">
      <c r="D53" s="60"/>
      <c r="E53" s="69"/>
      <c r="F53" s="69"/>
      <c r="G53" s="69"/>
      <c r="H53" s="98"/>
      <c r="I53" s="69"/>
      <c r="J53" s="69"/>
      <c r="K53" s="70"/>
      <c r="L53" s="98"/>
      <c r="M53" s="98"/>
      <c r="N53" s="98"/>
      <c r="O53" s="98"/>
      <c r="P53" s="98"/>
      <c r="Q53" s="98"/>
      <c r="R53" s="98"/>
      <c r="S53" s="98"/>
      <c r="T53" s="61"/>
    </row>
    <row r="54" spans="4:20" x14ac:dyDescent="0.2">
      <c r="D54" s="103" t="s">
        <v>495</v>
      </c>
      <c r="E54" s="70"/>
      <c r="F54" s="70"/>
      <c r="G54" s="70"/>
      <c r="H54" s="98"/>
      <c r="I54" s="70"/>
      <c r="J54" s="70"/>
      <c r="K54" s="70"/>
      <c r="L54" s="98"/>
      <c r="M54" s="98"/>
      <c r="N54" s="98"/>
      <c r="O54" s="98"/>
      <c r="P54" s="98"/>
      <c r="Q54" s="98"/>
      <c r="R54" s="98"/>
      <c r="S54" s="98"/>
      <c r="T54" s="61"/>
    </row>
    <row r="55" spans="4:20" x14ac:dyDescent="0.2">
      <c r="D55" s="104" t="s">
        <v>496</v>
      </c>
      <c r="E55" s="67"/>
      <c r="F55" s="67"/>
      <c r="G55" s="67"/>
      <c r="H55" s="98"/>
      <c r="I55" s="67"/>
      <c r="J55" s="67"/>
      <c r="K55" s="71"/>
      <c r="L55" s="98"/>
      <c r="M55" s="98"/>
      <c r="N55" s="98"/>
      <c r="O55" s="98"/>
      <c r="P55" s="98"/>
      <c r="Q55" s="98"/>
      <c r="R55" s="98"/>
      <c r="S55" s="98"/>
      <c r="T55" s="61"/>
    </row>
    <row r="56" spans="4:20" x14ac:dyDescent="0.2">
      <c r="D56" s="104" t="s">
        <v>497</v>
      </c>
      <c r="E56" s="71">
        <f>'Pro 2'!H42/1000</f>
        <v>0</v>
      </c>
      <c r="F56" s="71">
        <f>'Pro 2'!I42/1000</f>
        <v>0</v>
      </c>
      <c r="G56" s="71">
        <f>'Pro 2'!J42/1000</f>
        <v>0</v>
      </c>
      <c r="H56" s="98"/>
      <c r="I56" s="71"/>
      <c r="J56" s="71"/>
      <c r="K56" s="71"/>
      <c r="L56" s="98"/>
      <c r="M56" s="98"/>
      <c r="N56" s="98"/>
      <c r="O56" s="98"/>
      <c r="P56" s="98"/>
      <c r="Q56" s="98"/>
      <c r="R56" s="98"/>
      <c r="S56" s="98"/>
      <c r="T56" s="61"/>
    </row>
    <row r="57" spans="4:20" x14ac:dyDescent="0.2">
      <c r="D57" s="105" t="s">
        <v>498</v>
      </c>
      <c r="E57" s="69"/>
      <c r="F57" s="69"/>
      <c r="G57" s="69"/>
      <c r="H57" s="98"/>
      <c r="I57" s="69"/>
      <c r="J57" s="69"/>
      <c r="K57" s="69"/>
      <c r="L57" s="98"/>
      <c r="M57" s="98"/>
      <c r="N57" s="98"/>
      <c r="O57" s="98"/>
      <c r="P57" s="98"/>
      <c r="Q57" s="98"/>
      <c r="R57" s="98"/>
      <c r="S57" s="98"/>
      <c r="T57" s="61"/>
    </row>
    <row r="58" spans="4:20" x14ac:dyDescent="0.2">
      <c r="D58" s="60"/>
      <c r="E58" s="70"/>
      <c r="F58" s="70"/>
      <c r="G58" s="70"/>
      <c r="H58" s="98"/>
      <c r="I58" s="70"/>
      <c r="J58" s="70"/>
      <c r="K58" s="69"/>
      <c r="L58" s="98"/>
      <c r="M58" s="98"/>
      <c r="N58" s="98"/>
      <c r="O58" s="98"/>
      <c r="P58" s="98"/>
      <c r="Q58" s="98"/>
      <c r="R58" s="98"/>
      <c r="S58" s="98"/>
      <c r="T58" s="61"/>
    </row>
    <row r="59" spans="4:20" x14ac:dyDescent="0.2">
      <c r="D59" s="103" t="s">
        <v>499</v>
      </c>
      <c r="E59" s="70"/>
      <c r="F59" s="70"/>
      <c r="G59" s="70"/>
      <c r="H59" s="98"/>
      <c r="I59" s="70"/>
      <c r="J59" s="70"/>
      <c r="K59" s="70"/>
      <c r="L59" s="98"/>
      <c r="M59" s="98"/>
      <c r="N59" s="98"/>
      <c r="O59" s="98"/>
      <c r="P59" s="98"/>
      <c r="Q59" s="98"/>
      <c r="R59" s="98"/>
      <c r="S59" s="98"/>
      <c r="T59" s="61"/>
    </row>
    <row r="60" spans="4:20" x14ac:dyDescent="0.2">
      <c r="D60" s="104" t="s">
        <v>500</v>
      </c>
      <c r="E60" s="71">
        <f>'Pro 3'!H102</f>
        <v>0</v>
      </c>
      <c r="F60" s="71">
        <f>'Pro 3'!I102</f>
        <v>0</v>
      </c>
      <c r="G60" s="71">
        <f>'Pro 3'!J102</f>
        <v>0</v>
      </c>
      <c r="H60" s="98"/>
      <c r="I60" s="71"/>
      <c r="J60" s="71"/>
      <c r="K60" s="71"/>
      <c r="L60" s="98"/>
      <c r="M60" s="98"/>
      <c r="N60" s="98"/>
      <c r="O60" s="98"/>
      <c r="P60" s="98"/>
      <c r="Q60" s="98"/>
      <c r="R60" s="98"/>
      <c r="S60" s="98"/>
      <c r="T60" s="61"/>
    </row>
    <row r="61" spans="4:20" x14ac:dyDescent="0.2">
      <c r="D61" s="104" t="s">
        <v>501</v>
      </c>
      <c r="E61" s="71">
        <f>'Pro 3'!H103</f>
        <v>0</v>
      </c>
      <c r="F61" s="71">
        <f>'Pro 3'!I103</f>
        <v>0</v>
      </c>
      <c r="G61" s="71">
        <f>'Pro 3'!J103</f>
        <v>0</v>
      </c>
      <c r="H61" s="98"/>
      <c r="I61" s="71"/>
      <c r="J61" s="71"/>
      <c r="K61" s="71"/>
      <c r="L61" s="98"/>
      <c r="M61" s="98"/>
      <c r="N61" s="98"/>
      <c r="O61" s="98"/>
      <c r="P61" s="98"/>
      <c r="Q61" s="98"/>
      <c r="R61" s="98"/>
      <c r="S61" s="98"/>
      <c r="T61" s="61"/>
    </row>
    <row r="62" spans="4:20" x14ac:dyDescent="0.2">
      <c r="D62" s="103" t="s">
        <v>502</v>
      </c>
      <c r="E62" s="69"/>
      <c r="F62" s="69"/>
      <c r="G62" s="69"/>
      <c r="H62" s="98"/>
      <c r="I62" s="69"/>
      <c r="J62" s="69"/>
      <c r="K62" s="69"/>
      <c r="L62" s="98"/>
      <c r="M62" s="98"/>
      <c r="N62" s="98"/>
      <c r="O62" s="98"/>
      <c r="P62" s="98"/>
      <c r="Q62" s="98"/>
      <c r="R62" s="98"/>
      <c r="S62" s="98"/>
      <c r="T62" s="61"/>
    </row>
    <row r="63" spans="4:20" x14ac:dyDescent="0.2">
      <c r="D63" s="104"/>
      <c r="E63" s="70"/>
      <c r="F63" s="70"/>
      <c r="G63" s="70"/>
      <c r="H63" s="98"/>
      <c r="I63" s="70"/>
      <c r="J63" s="70"/>
      <c r="K63" s="70"/>
      <c r="L63" s="98"/>
      <c r="M63" s="98"/>
      <c r="N63" s="98"/>
      <c r="O63" s="98"/>
      <c r="P63" s="98"/>
      <c r="Q63" s="98"/>
      <c r="R63" s="98"/>
      <c r="S63" s="98"/>
      <c r="T63" s="61"/>
    </row>
    <row r="64" spans="4:20" x14ac:dyDescent="0.2">
      <c r="D64" s="103" t="s">
        <v>503</v>
      </c>
      <c r="E64" s="70"/>
      <c r="F64" s="70"/>
      <c r="G64" s="70"/>
      <c r="H64" s="98"/>
      <c r="I64" s="70"/>
      <c r="J64" s="70"/>
      <c r="K64" s="70"/>
      <c r="L64" s="98"/>
      <c r="M64" s="98"/>
      <c r="N64" s="98"/>
      <c r="O64" s="98"/>
      <c r="P64" s="98"/>
      <c r="Q64" s="98"/>
      <c r="R64" s="98"/>
      <c r="S64" s="98"/>
      <c r="T64" s="61"/>
    </row>
    <row r="65" spans="4:20" x14ac:dyDescent="0.2">
      <c r="D65" s="104" t="s">
        <v>500</v>
      </c>
      <c r="E65" s="71">
        <f>'Pro 3'!H108/1000</f>
        <v>0</v>
      </c>
      <c r="F65" s="71">
        <f>'Pro 3'!I108/1000</f>
        <v>0</v>
      </c>
      <c r="G65" s="71">
        <f>'Pro 3'!J108/1000</f>
        <v>0</v>
      </c>
      <c r="H65" s="98"/>
      <c r="I65" s="71"/>
      <c r="J65" s="71"/>
      <c r="K65" s="71"/>
      <c r="L65" s="98"/>
      <c r="M65" s="98"/>
      <c r="N65" s="98"/>
      <c r="O65" s="98"/>
      <c r="P65" s="98"/>
      <c r="Q65" s="98"/>
      <c r="R65" s="98"/>
      <c r="S65" s="98"/>
      <c r="T65" s="61"/>
    </row>
    <row r="66" spans="4:20" x14ac:dyDescent="0.2">
      <c r="D66" s="104" t="s">
        <v>501</v>
      </c>
      <c r="E66" s="71">
        <f>'Pro 3'!H109/1000</f>
        <v>0</v>
      </c>
      <c r="F66" s="71">
        <f>'Pro 3'!I109/1000</f>
        <v>0</v>
      </c>
      <c r="G66" s="71">
        <f>'Pro 3'!J109/1000</f>
        <v>0</v>
      </c>
      <c r="H66" s="98"/>
      <c r="I66" s="71"/>
      <c r="J66" s="71"/>
      <c r="K66" s="71"/>
      <c r="L66" s="98"/>
      <c r="M66" s="98"/>
      <c r="N66" s="98"/>
      <c r="O66" s="98"/>
      <c r="P66" s="98"/>
      <c r="Q66" s="98"/>
      <c r="R66" s="98"/>
      <c r="S66" s="98"/>
      <c r="T66" s="61"/>
    </row>
    <row r="67" spans="4:20" x14ac:dyDescent="0.2">
      <c r="D67" s="106" t="s">
        <v>504</v>
      </c>
      <c r="E67" s="69"/>
      <c r="F67" s="69"/>
      <c r="G67" s="69"/>
      <c r="H67" s="98"/>
      <c r="I67" s="69"/>
      <c r="J67" s="69"/>
      <c r="K67" s="69"/>
      <c r="L67" s="98"/>
      <c r="M67" s="98"/>
      <c r="N67" s="98"/>
      <c r="O67" s="98"/>
      <c r="P67" s="98"/>
      <c r="Q67" s="98"/>
      <c r="R67" s="98"/>
      <c r="S67" s="98"/>
      <c r="T67" s="61"/>
    </row>
    <row r="68" spans="4:20" x14ac:dyDescent="0.2">
      <c r="D68" s="104"/>
      <c r="E68" s="71"/>
      <c r="F68" s="71"/>
      <c r="G68" s="71"/>
      <c r="H68" s="98"/>
      <c r="I68" s="71"/>
      <c r="J68" s="71"/>
      <c r="K68" s="70"/>
      <c r="L68" s="98"/>
      <c r="M68" s="98"/>
      <c r="N68" s="98"/>
      <c r="O68" s="98"/>
      <c r="P68" s="98"/>
      <c r="Q68" s="98"/>
      <c r="R68" s="98"/>
      <c r="S68" s="98"/>
      <c r="T68" s="61"/>
    </row>
    <row r="69" spans="4:20" x14ac:dyDescent="0.2">
      <c r="D69" s="103" t="s">
        <v>564</v>
      </c>
      <c r="E69" s="70"/>
      <c r="F69" s="70"/>
      <c r="G69" s="70"/>
      <c r="H69" s="98"/>
      <c r="I69" s="70"/>
      <c r="J69" s="70"/>
      <c r="K69" s="70"/>
      <c r="L69" s="98"/>
      <c r="M69" s="98"/>
      <c r="N69" s="98"/>
      <c r="O69" s="98"/>
      <c r="P69" s="98"/>
      <c r="Q69" s="98"/>
      <c r="R69" s="98"/>
      <c r="S69" s="98"/>
      <c r="T69" s="61"/>
    </row>
    <row r="70" spans="4:20" x14ac:dyDescent="0.2">
      <c r="D70" s="104" t="s">
        <v>385</v>
      </c>
      <c r="E70" s="71">
        <f>'Pro 3'!H114+'Pro 3'!H115</f>
        <v>0</v>
      </c>
      <c r="F70" s="71">
        <f>'Pro 3'!I114+'Pro 3'!I115</f>
        <v>0</v>
      </c>
      <c r="G70" s="71">
        <f>'Pro 3'!J114+'Pro 3'!J115</f>
        <v>0</v>
      </c>
      <c r="H70" s="98"/>
      <c r="I70" s="70"/>
      <c r="J70" s="70"/>
      <c r="K70" s="71"/>
      <c r="L70" s="98"/>
      <c r="M70" s="98"/>
      <c r="N70" s="98"/>
      <c r="O70" s="98"/>
      <c r="P70" s="98"/>
      <c r="Q70" s="98"/>
      <c r="R70" s="98"/>
      <c r="S70" s="98"/>
      <c r="T70" s="61"/>
    </row>
    <row r="71" spans="4:20" x14ac:dyDescent="0.2">
      <c r="D71" s="104" t="s">
        <v>388</v>
      </c>
      <c r="E71" s="71">
        <f>'Pro 3'!H116</f>
        <v>0</v>
      </c>
      <c r="F71" s="71">
        <f>'Pro 3'!I116</f>
        <v>0</v>
      </c>
      <c r="G71" s="71">
        <f>'Pro 3'!J116</f>
        <v>0</v>
      </c>
      <c r="H71" s="98"/>
      <c r="I71" s="70"/>
      <c r="J71" s="70"/>
      <c r="K71" s="71"/>
      <c r="L71" s="98"/>
      <c r="M71" s="98"/>
      <c r="N71" s="98"/>
      <c r="O71" s="98"/>
      <c r="P71" s="98"/>
      <c r="Q71" s="98"/>
      <c r="R71" s="98"/>
      <c r="S71" s="98"/>
      <c r="T71" s="61"/>
    </row>
    <row r="72" spans="4:20" x14ac:dyDescent="0.2">
      <c r="D72" s="107" t="s">
        <v>565</v>
      </c>
      <c r="E72" s="98"/>
      <c r="F72" s="98"/>
      <c r="G72" s="98"/>
      <c r="H72" s="98"/>
      <c r="I72" s="70"/>
      <c r="J72" s="70"/>
      <c r="K72" s="69"/>
      <c r="L72" s="98"/>
      <c r="M72" s="98"/>
      <c r="N72" s="98"/>
      <c r="O72" s="98"/>
      <c r="P72" s="98"/>
      <c r="Q72" s="98"/>
      <c r="R72" s="98"/>
      <c r="S72" s="98"/>
      <c r="T72" s="61"/>
    </row>
    <row r="73" spans="4:20" x14ac:dyDescent="0.2">
      <c r="D73" s="107"/>
      <c r="E73" s="69"/>
      <c r="F73" s="69"/>
      <c r="G73" s="69"/>
      <c r="H73" s="98"/>
      <c r="I73" s="69"/>
      <c r="J73" s="69"/>
      <c r="K73" s="71"/>
      <c r="L73" s="98"/>
      <c r="M73" s="98"/>
      <c r="N73" s="98"/>
      <c r="O73" s="98"/>
      <c r="P73" s="98"/>
      <c r="Q73" s="98"/>
      <c r="R73" s="98"/>
      <c r="S73" s="98"/>
      <c r="T73" s="61"/>
    </row>
    <row r="74" spans="4:20" x14ac:dyDescent="0.2">
      <c r="D74" s="107" t="s">
        <v>82</v>
      </c>
      <c r="E74" s="71"/>
      <c r="F74" s="71"/>
      <c r="G74" s="71"/>
      <c r="H74" s="98"/>
      <c r="I74" s="71"/>
      <c r="J74" s="71"/>
      <c r="K74" s="70"/>
      <c r="L74" s="98"/>
      <c r="M74" s="98"/>
      <c r="N74" s="98"/>
      <c r="O74" s="98"/>
      <c r="P74" s="98"/>
      <c r="Q74" s="98"/>
      <c r="R74" s="98"/>
      <c r="S74" s="98"/>
      <c r="T74" s="61"/>
    </row>
    <row r="75" spans="4:20" x14ac:dyDescent="0.2">
      <c r="D75" s="104" t="s">
        <v>566</v>
      </c>
      <c r="E75" s="71"/>
      <c r="F75" s="71"/>
      <c r="G75" s="71"/>
      <c r="H75" s="98"/>
      <c r="I75" s="71"/>
      <c r="J75" s="71"/>
      <c r="K75" s="71"/>
      <c r="L75" s="98"/>
      <c r="M75" s="98"/>
      <c r="N75" s="98"/>
      <c r="O75" s="98"/>
      <c r="P75" s="98"/>
      <c r="Q75" s="98"/>
      <c r="R75" s="98"/>
      <c r="S75" s="98"/>
      <c r="T75" s="61"/>
    </row>
    <row r="76" spans="4:20" x14ac:dyDescent="0.2">
      <c r="D76" s="113" t="s">
        <v>567</v>
      </c>
      <c r="E76" s="69"/>
      <c r="F76" s="69"/>
      <c r="G76" s="69"/>
      <c r="H76" s="98"/>
      <c r="I76" s="69"/>
      <c r="J76" s="69"/>
      <c r="K76" s="71"/>
      <c r="L76" s="98"/>
      <c r="M76" s="98"/>
      <c r="N76" s="98"/>
      <c r="O76" s="98"/>
      <c r="P76" s="98"/>
      <c r="Q76" s="98"/>
      <c r="R76" s="98"/>
      <c r="S76" s="98"/>
      <c r="T76" s="61"/>
    </row>
    <row r="77" spans="4:20" x14ac:dyDescent="0.2">
      <c r="D77" s="104"/>
      <c r="E77" s="71"/>
      <c r="F77" s="71"/>
      <c r="G77" s="71"/>
      <c r="H77" s="98"/>
      <c r="I77" s="71"/>
      <c r="J77" s="71"/>
      <c r="K77" s="71"/>
      <c r="L77" s="98"/>
      <c r="M77" s="98"/>
      <c r="N77" s="98"/>
      <c r="O77" s="98"/>
      <c r="P77" s="98"/>
      <c r="Q77" s="98"/>
      <c r="R77" s="98"/>
      <c r="S77" s="98"/>
      <c r="T77" s="61"/>
    </row>
    <row r="78" spans="4:20" x14ac:dyDescent="0.2">
      <c r="D78" s="103" t="s">
        <v>568</v>
      </c>
      <c r="E78" s="71"/>
      <c r="F78" s="71"/>
      <c r="G78" s="71"/>
      <c r="H78" s="98"/>
      <c r="I78" s="71"/>
      <c r="J78" s="71"/>
      <c r="K78" s="71"/>
      <c r="L78" s="98"/>
      <c r="M78" s="98"/>
      <c r="N78" s="98"/>
      <c r="O78" s="98"/>
      <c r="P78" s="98"/>
      <c r="Q78" s="98"/>
      <c r="R78" s="98"/>
      <c r="S78" s="98"/>
      <c r="T78" s="61"/>
    </row>
    <row r="79" spans="4:20" x14ac:dyDescent="0.2">
      <c r="D79" s="104" t="s">
        <v>496</v>
      </c>
      <c r="E79" s="71">
        <f>'Pro 2'!H44</f>
        <v>0</v>
      </c>
      <c r="F79" s="71">
        <f>'Pro 2'!I44</f>
        <v>0</v>
      </c>
      <c r="G79" s="71">
        <f>'Pro 2'!J44</f>
        <v>0</v>
      </c>
      <c r="H79" s="98"/>
      <c r="I79" s="71"/>
      <c r="J79" s="71"/>
      <c r="K79" s="71"/>
      <c r="L79" s="98"/>
      <c r="M79" s="98"/>
      <c r="N79" s="98"/>
      <c r="O79" s="98"/>
      <c r="P79" s="98"/>
      <c r="Q79" s="98"/>
      <c r="R79" s="98"/>
      <c r="S79" s="98"/>
      <c r="T79" s="61"/>
    </row>
    <row r="80" spans="4:20" x14ac:dyDescent="0.2">
      <c r="D80" s="104" t="s">
        <v>569</v>
      </c>
      <c r="E80" s="71">
        <f>'Pro 2'!H45/1000</f>
        <v>0</v>
      </c>
      <c r="F80" s="71">
        <f>'Pro 2'!I45/1000</f>
        <v>0</v>
      </c>
      <c r="G80" s="71">
        <f>'Pro 2'!J45/1000</f>
        <v>0</v>
      </c>
      <c r="H80" s="98"/>
      <c r="I80" s="71"/>
      <c r="J80" s="71"/>
      <c r="K80" s="69"/>
      <c r="L80" s="98"/>
      <c r="M80" s="98"/>
      <c r="N80" s="98"/>
      <c r="O80" s="98"/>
      <c r="P80" s="98"/>
      <c r="Q80" s="98"/>
      <c r="R80" s="98"/>
      <c r="S80" s="98"/>
      <c r="T80" s="61"/>
    </row>
    <row r="81" spans="1:26" x14ac:dyDescent="0.2">
      <c r="D81" s="105" t="s">
        <v>570</v>
      </c>
      <c r="E81" s="69"/>
      <c r="F81" s="69"/>
      <c r="G81" s="69"/>
      <c r="H81" s="69"/>
      <c r="I81" s="69"/>
      <c r="J81" s="69"/>
      <c r="K81" s="71"/>
      <c r="L81" s="98"/>
      <c r="M81" s="98"/>
      <c r="N81" s="98"/>
      <c r="O81" s="98"/>
      <c r="P81" s="98"/>
      <c r="Q81" s="98"/>
      <c r="R81" s="98"/>
      <c r="S81" s="98"/>
      <c r="T81" s="61"/>
    </row>
    <row r="82" spans="1:26" x14ac:dyDescent="0.2">
      <c r="D82" s="104"/>
      <c r="E82" s="71"/>
      <c r="F82" s="71"/>
      <c r="G82" s="71"/>
      <c r="H82" s="71"/>
      <c r="I82" s="71"/>
      <c r="J82" s="71"/>
      <c r="K82" s="71"/>
      <c r="L82" s="98"/>
      <c r="M82" s="98"/>
      <c r="N82" s="98"/>
      <c r="O82" s="98"/>
      <c r="P82" s="98"/>
      <c r="Q82" s="98"/>
      <c r="R82" s="98"/>
      <c r="S82" s="98"/>
      <c r="T82" s="61"/>
    </row>
    <row r="83" spans="1:26" ht="15" customHeight="1" x14ac:dyDescent="0.2">
      <c r="D83" s="104"/>
      <c r="E83" s="71"/>
      <c r="F83" s="71"/>
      <c r="G83" s="71"/>
      <c r="H83" s="974" t="s">
        <v>505</v>
      </c>
      <c r="I83" s="974"/>
      <c r="J83" s="974"/>
      <c r="K83" s="71"/>
      <c r="L83" s="98"/>
      <c r="M83" s="98"/>
      <c r="N83" s="98"/>
      <c r="O83" s="98"/>
      <c r="P83" s="98"/>
      <c r="Q83" s="98"/>
      <c r="R83" s="98"/>
      <c r="S83" s="98"/>
      <c r="T83" s="61"/>
    </row>
    <row r="84" spans="1:26" x14ac:dyDescent="0.2">
      <c r="D84" s="104"/>
      <c r="E84" s="99">
        <v>2022</v>
      </c>
      <c r="F84" s="99">
        <v>2023</v>
      </c>
      <c r="G84" s="99">
        <v>2024</v>
      </c>
      <c r="H84" s="99">
        <v>2025</v>
      </c>
      <c r="I84" s="66">
        <v>2026</v>
      </c>
      <c r="J84" s="66">
        <v>2027</v>
      </c>
      <c r="K84" s="66"/>
      <c r="L84" s="98"/>
      <c r="M84" s="98"/>
      <c r="N84" s="98"/>
      <c r="O84" s="98"/>
      <c r="P84" s="98"/>
      <c r="Q84" s="98"/>
      <c r="R84" s="98"/>
      <c r="S84" s="98"/>
      <c r="T84" s="61"/>
    </row>
    <row r="85" spans="1:26" x14ac:dyDescent="0.2">
      <c r="D85" s="108" t="s">
        <v>506</v>
      </c>
      <c r="E85" s="109">
        <f>'Pro 3'!E304/1000</f>
        <v>0</v>
      </c>
      <c r="F85" s="109">
        <f>'Pro 3'!F304/1000</f>
        <v>0</v>
      </c>
      <c r="G85" s="109">
        <f>'Pro 3'!G304/1000</f>
        <v>0</v>
      </c>
      <c r="H85" s="109">
        <f>'Pro 3'!H304/1000</f>
        <v>0</v>
      </c>
      <c r="I85" s="109">
        <f>'Pro 3'!I304/1000</f>
        <v>0</v>
      </c>
      <c r="J85" s="109">
        <f>'Pro 3'!J304/1000</f>
        <v>0</v>
      </c>
      <c r="K85" s="109"/>
      <c r="L85" s="64"/>
      <c r="M85" s="64"/>
      <c r="N85" s="64"/>
      <c r="O85" s="64"/>
      <c r="P85" s="64"/>
      <c r="Q85" s="64"/>
      <c r="R85" s="64"/>
      <c r="S85" s="64"/>
      <c r="T85" s="65"/>
    </row>
    <row r="86" spans="1:26" x14ac:dyDescent="0.2">
      <c r="D86" s="98"/>
      <c r="E86" s="98"/>
      <c r="F86" s="98"/>
      <c r="G86" s="98"/>
      <c r="H86" s="98"/>
      <c r="I86" s="98"/>
      <c r="J86" s="98"/>
      <c r="K86" s="71"/>
    </row>
    <row r="87" spans="1:26" x14ac:dyDescent="0.2">
      <c r="D87" s="115" t="s">
        <v>507</v>
      </c>
      <c r="E87" s="57"/>
      <c r="F87" s="57"/>
      <c r="G87" s="57"/>
      <c r="H87" s="57"/>
      <c r="I87" s="57"/>
      <c r="J87" s="57"/>
      <c r="K87" s="120"/>
      <c r="L87" s="57"/>
      <c r="M87" s="57"/>
      <c r="N87" s="57"/>
      <c r="O87" s="57"/>
      <c r="P87" s="57"/>
      <c r="Q87" s="57"/>
      <c r="R87" s="57"/>
      <c r="S87" s="57"/>
      <c r="T87" s="57"/>
      <c r="U87" s="57"/>
      <c r="V87" s="57"/>
      <c r="W87" s="57"/>
      <c r="X87" s="57"/>
      <c r="Y87" s="57"/>
      <c r="Z87" s="58"/>
    </row>
    <row r="88" spans="1:26" ht="13.5" thickBot="1" x14ac:dyDescent="0.25">
      <c r="D88" s="121" t="s">
        <v>508</v>
      </c>
      <c r="E88" s="72" t="s">
        <v>509</v>
      </c>
      <c r="F88" s="72" t="s">
        <v>510</v>
      </c>
      <c r="G88" s="72" t="s">
        <v>511</v>
      </c>
      <c r="H88" s="72" t="s">
        <v>512</v>
      </c>
      <c r="I88" s="72" t="s">
        <v>513</v>
      </c>
      <c r="J88" s="72" t="s">
        <v>514</v>
      </c>
      <c r="K88" s="73" t="s">
        <v>515</v>
      </c>
      <c r="L88" s="73" t="s">
        <v>571</v>
      </c>
      <c r="M88" s="72" t="s">
        <v>516</v>
      </c>
      <c r="N88" s="72" t="s">
        <v>517</v>
      </c>
      <c r="O88" s="72" t="s">
        <v>572</v>
      </c>
      <c r="P88" s="74" t="s">
        <v>518</v>
      </c>
      <c r="Q88" s="74" t="s">
        <v>519</v>
      </c>
      <c r="R88" s="74" t="s">
        <v>520</v>
      </c>
      <c r="S88" s="74" t="s">
        <v>521</v>
      </c>
      <c r="T88" s="74" t="s">
        <v>522</v>
      </c>
      <c r="U88" s="74" t="s">
        <v>523</v>
      </c>
      <c r="V88" s="98"/>
      <c r="W88" s="98"/>
      <c r="X88" s="98">
        <v>2022</v>
      </c>
      <c r="Y88" s="98">
        <v>2023</v>
      </c>
      <c r="Z88" s="61">
        <v>2024</v>
      </c>
    </row>
    <row r="89" spans="1:26" x14ac:dyDescent="0.2">
      <c r="D89" s="122">
        <f>Intro!D77</f>
        <v>0</v>
      </c>
      <c r="E89" s="123" t="s">
        <v>524</v>
      </c>
      <c r="F89" s="123" t="s">
        <v>525</v>
      </c>
      <c r="G89" s="123" t="s">
        <v>525</v>
      </c>
      <c r="H89" s="123" t="s">
        <v>525</v>
      </c>
      <c r="I89" s="123" t="s">
        <v>526</v>
      </c>
      <c r="J89" s="123" t="s">
        <v>526</v>
      </c>
      <c r="K89" s="123"/>
      <c r="L89" s="123" t="s">
        <v>526</v>
      </c>
      <c r="M89" s="123" t="s">
        <v>528</v>
      </c>
      <c r="N89" s="123" t="s">
        <v>529</v>
      </c>
      <c r="O89" s="123" t="s">
        <v>557</v>
      </c>
      <c r="P89" s="75">
        <f>'Pro 2'!H29</f>
        <v>0</v>
      </c>
      <c r="Q89" s="76">
        <f>'Pro 2'!I29</f>
        <v>0</v>
      </c>
      <c r="R89" s="76">
        <f>'Pro 2'!J29</f>
        <v>0</v>
      </c>
      <c r="S89" s="75">
        <f>'Pro 2'!H30</f>
        <v>0</v>
      </c>
      <c r="T89" s="76">
        <f>'Pro 2'!I30</f>
        <v>0</v>
      </c>
      <c r="U89" s="76">
        <f>'Pro 2'!J30</f>
        <v>0</v>
      </c>
      <c r="V89" s="98"/>
      <c r="W89" s="98" t="s">
        <v>573</v>
      </c>
      <c r="X89" s="98">
        <f>'Pro 2'!E146*0.01</f>
        <v>0</v>
      </c>
      <c r="Y89" s="98">
        <f>'Pro 2'!F146*0.01</f>
        <v>0</v>
      </c>
      <c r="Z89" s="61">
        <f>'Pro 2'!G146*0.01</f>
        <v>0</v>
      </c>
    </row>
    <row r="90" spans="1:26" x14ac:dyDescent="0.2">
      <c r="D90" s="124">
        <f t="shared" ref="D90:E92" si="2">D89</f>
        <v>0</v>
      </c>
      <c r="E90" s="125" t="str">
        <f t="shared" si="2"/>
        <v>1 - Producer</v>
      </c>
      <c r="F90" s="125" t="s">
        <v>525</v>
      </c>
      <c r="G90" s="125" t="s">
        <v>525</v>
      </c>
      <c r="H90" s="125" t="s">
        <v>525</v>
      </c>
      <c r="I90" s="125" t="str">
        <f t="shared" ref="I90:J92" si="3">I89</f>
        <v>DOM</v>
      </c>
      <c r="J90" s="125" t="str">
        <f t="shared" si="3"/>
        <v>DOM</v>
      </c>
      <c r="K90" s="125"/>
      <c r="L90" s="125" t="str">
        <f>L89</f>
        <v>DOM</v>
      </c>
      <c r="M90" s="125" t="s">
        <v>528</v>
      </c>
      <c r="N90" s="125" t="s">
        <v>530</v>
      </c>
      <c r="O90" s="125" t="s">
        <v>557</v>
      </c>
      <c r="P90" s="77">
        <f>'Pro 2'!H35</f>
        <v>0</v>
      </c>
      <c r="Q90" s="125">
        <f>'Pro 2'!I35</f>
        <v>0</v>
      </c>
      <c r="R90" s="125">
        <f>'Pro 2'!J35</f>
        <v>0</v>
      </c>
      <c r="S90" s="77">
        <f>'Pro 2'!H36</f>
        <v>0</v>
      </c>
      <c r="T90" s="125">
        <f>'Pro 2'!I36</f>
        <v>0</v>
      </c>
      <c r="U90" s="125">
        <f>'Pro 2'!J36</f>
        <v>0</v>
      </c>
      <c r="V90" s="98"/>
      <c r="W90" s="98"/>
      <c r="X90" s="98"/>
      <c r="Y90" s="98"/>
      <c r="Z90" s="61"/>
    </row>
    <row r="91" spans="1:26" x14ac:dyDescent="0.2">
      <c r="D91" s="126">
        <f t="shared" si="2"/>
        <v>0</v>
      </c>
      <c r="E91" s="127" t="str">
        <f t="shared" si="2"/>
        <v>1 - Producer</v>
      </c>
      <c r="F91" s="127" t="s">
        <v>525</v>
      </c>
      <c r="G91" s="127" t="s">
        <v>525</v>
      </c>
      <c r="H91" s="127" t="s">
        <v>525</v>
      </c>
      <c r="I91" s="127" t="str">
        <f t="shared" si="3"/>
        <v>DOM</v>
      </c>
      <c r="J91" s="127" t="str">
        <f t="shared" si="3"/>
        <v>DOM</v>
      </c>
      <c r="K91" s="127"/>
      <c r="L91" s="127" t="str">
        <f>L90</f>
        <v>DOM</v>
      </c>
      <c r="M91" s="127" t="s">
        <v>528</v>
      </c>
      <c r="N91" s="127" t="s">
        <v>529</v>
      </c>
      <c r="O91" s="127" t="s">
        <v>558</v>
      </c>
      <c r="P91" s="78" t="e">
        <f>'Pro 2'!#REF!</f>
        <v>#REF!</v>
      </c>
      <c r="Q91" s="127" t="e">
        <f>'Pro 2'!#REF!</f>
        <v>#REF!</v>
      </c>
      <c r="R91" s="127" t="e">
        <f>'Pro 2'!#REF!</f>
        <v>#REF!</v>
      </c>
      <c r="S91" s="78" t="e">
        <f>'Pro 2'!#REF!</f>
        <v>#REF!</v>
      </c>
      <c r="T91" s="127" t="e">
        <f>'Pro 2'!#REF!</f>
        <v>#REF!</v>
      </c>
      <c r="U91" s="127" t="e">
        <f>'Pro 2'!#REF!</f>
        <v>#REF!</v>
      </c>
      <c r="V91" s="98"/>
      <c r="W91" s="98"/>
      <c r="X91" s="98"/>
      <c r="Y91" s="98"/>
      <c r="Z91" s="61"/>
    </row>
    <row r="92" spans="1:26" x14ac:dyDescent="0.2">
      <c r="D92" s="128">
        <f t="shared" si="2"/>
        <v>0</v>
      </c>
      <c r="E92" s="129" t="str">
        <f t="shared" si="2"/>
        <v>1 - Producer</v>
      </c>
      <c r="F92" s="129" t="s">
        <v>525</v>
      </c>
      <c r="G92" s="129" t="s">
        <v>525</v>
      </c>
      <c r="H92" s="129" t="s">
        <v>525</v>
      </c>
      <c r="I92" s="129" t="str">
        <f t="shared" si="3"/>
        <v>DOM</v>
      </c>
      <c r="J92" s="129" t="str">
        <f t="shared" si="3"/>
        <v>DOM</v>
      </c>
      <c r="K92" s="129"/>
      <c r="L92" s="129" t="str">
        <f>L91</f>
        <v>DOM</v>
      </c>
      <c r="M92" s="129" t="s">
        <v>528</v>
      </c>
      <c r="N92" s="129" t="s">
        <v>530</v>
      </c>
      <c r="O92" s="129" t="s">
        <v>558</v>
      </c>
      <c r="P92" s="130" t="e">
        <f>'Pro 2'!#REF!</f>
        <v>#REF!</v>
      </c>
      <c r="Q92" s="129" t="e">
        <f>'Pro 2'!#REF!</f>
        <v>#REF!</v>
      </c>
      <c r="R92" s="129" t="e">
        <f>'Pro 2'!#REF!</f>
        <v>#REF!</v>
      </c>
      <c r="S92" s="130" t="e">
        <f>'Pro 2'!#REF!</f>
        <v>#REF!</v>
      </c>
      <c r="T92" s="129" t="e">
        <f>'Pro 2'!#REF!</f>
        <v>#REF!</v>
      </c>
      <c r="U92" s="129" t="e">
        <f>'Pro 2'!#REF!</f>
        <v>#REF!</v>
      </c>
      <c r="V92" s="64"/>
      <c r="W92" s="64"/>
      <c r="X92" s="64"/>
      <c r="Y92" s="64"/>
      <c r="Z92" s="65"/>
    </row>
    <row r="93" spans="1:26" x14ac:dyDescent="0.2">
      <c r="L93" s="71"/>
    </row>
    <row r="94" spans="1:26" ht="13.5" thickBot="1" x14ac:dyDescent="0.25">
      <c r="D94" s="115" t="s">
        <v>531</v>
      </c>
      <c r="E94" s="57"/>
      <c r="F94" s="57"/>
      <c r="G94" s="57"/>
      <c r="H94" s="57"/>
      <c r="I94" s="57"/>
      <c r="J94" s="57"/>
      <c r="K94" s="57"/>
      <c r="L94" s="57"/>
      <c r="M94" s="57"/>
      <c r="N94" s="58"/>
    </row>
    <row r="95" spans="1:26" ht="15" customHeight="1" x14ac:dyDescent="0.2">
      <c r="A95" s="54" t="s">
        <v>575</v>
      </c>
      <c r="D95" s="131"/>
      <c r="E95" s="79"/>
      <c r="F95" s="79"/>
      <c r="G95" s="79"/>
      <c r="H95" s="79"/>
      <c r="I95" s="972" t="s">
        <v>574</v>
      </c>
      <c r="J95" s="972"/>
      <c r="K95" s="972"/>
      <c r="L95" s="972" t="s">
        <v>576</v>
      </c>
      <c r="M95" s="972"/>
      <c r="N95" s="973"/>
    </row>
    <row r="96" spans="1:26" ht="12.75" customHeight="1" x14ac:dyDescent="0.2">
      <c r="D96" s="132" t="s">
        <v>508</v>
      </c>
      <c r="E96" s="133" t="s">
        <v>532</v>
      </c>
      <c r="F96" s="133" t="s">
        <v>533</v>
      </c>
      <c r="G96" s="133" t="s">
        <v>534</v>
      </c>
      <c r="H96" s="133" t="s">
        <v>535</v>
      </c>
      <c r="I96" s="134">
        <v>2022</v>
      </c>
      <c r="J96" s="134">
        <v>2023</v>
      </c>
      <c r="K96" s="134">
        <v>2024</v>
      </c>
      <c r="L96" s="134">
        <f>I96</f>
        <v>2022</v>
      </c>
      <c r="M96" s="134">
        <f>J96</f>
        <v>2023</v>
      </c>
      <c r="N96" s="135">
        <f>K96</f>
        <v>2024</v>
      </c>
    </row>
    <row r="97" spans="4:30" x14ac:dyDescent="0.2">
      <c r="D97" s="136">
        <f>D89</f>
        <v>0</v>
      </c>
      <c r="E97" s="137" t="s">
        <v>524</v>
      </c>
      <c r="F97" s="137" t="s">
        <v>467</v>
      </c>
      <c r="G97" s="137" t="s">
        <v>536</v>
      </c>
      <c r="H97" s="80" t="s">
        <v>537</v>
      </c>
      <c r="I97" s="98">
        <f>F8*L97*0.01</f>
        <v>0</v>
      </c>
      <c r="J97" s="98">
        <f t="shared" ref="J97:K101" si="4">G8*M97*0.01</f>
        <v>0</v>
      </c>
      <c r="K97" s="98">
        <f t="shared" si="4"/>
        <v>0</v>
      </c>
      <c r="L97" s="98">
        <f>'Pro 2'!G209</f>
        <v>0</v>
      </c>
      <c r="M97" s="98">
        <f>'Pro 2'!H209</f>
        <v>0</v>
      </c>
      <c r="N97" s="61">
        <f>'Pro 2'!I209</f>
        <v>0</v>
      </c>
    </row>
    <row r="98" spans="4:30" x14ac:dyDescent="0.2">
      <c r="D98" s="138">
        <f>D97</f>
        <v>0</v>
      </c>
      <c r="E98" s="139" t="s">
        <v>524</v>
      </c>
      <c r="F98" s="139" t="str">
        <f t="shared" ref="F98:F101" si="5">F97</f>
        <v>Domestic Sales</v>
      </c>
      <c r="G98" s="139" t="s">
        <v>538</v>
      </c>
      <c r="H98" s="81" t="s">
        <v>539</v>
      </c>
      <c r="I98" s="98">
        <f t="shared" ref="I98:I101" si="6">F9*L98*0.01</f>
        <v>0</v>
      </c>
      <c r="J98" s="98">
        <f t="shared" si="4"/>
        <v>0</v>
      </c>
      <c r="K98" s="98">
        <f t="shared" si="4"/>
        <v>0</v>
      </c>
      <c r="L98" s="98">
        <f>'Pro 2'!G210</f>
        <v>0</v>
      </c>
      <c r="M98" s="98">
        <f>'Pro 2'!H210</f>
        <v>0</v>
      </c>
      <c r="N98" s="61">
        <f>'Pro 2'!I210</f>
        <v>0</v>
      </c>
    </row>
    <row r="99" spans="4:30" x14ac:dyDescent="0.2">
      <c r="D99" s="138">
        <f t="shared" ref="D99:D101" si="7">D98</f>
        <v>0</v>
      </c>
      <c r="E99" s="139" t="s">
        <v>524</v>
      </c>
      <c r="F99" s="139" t="str">
        <f t="shared" si="5"/>
        <v>Domestic Sales</v>
      </c>
      <c r="G99" s="139" t="s">
        <v>540</v>
      </c>
      <c r="H99" s="81" t="s">
        <v>541</v>
      </c>
      <c r="I99" s="98">
        <f t="shared" si="6"/>
        <v>0</v>
      </c>
      <c r="J99" s="98">
        <f t="shared" si="4"/>
        <v>0</v>
      </c>
      <c r="K99" s="98">
        <f t="shared" si="4"/>
        <v>0</v>
      </c>
      <c r="L99" s="98">
        <f>'Pro 2'!G211</f>
        <v>0</v>
      </c>
      <c r="M99" s="98">
        <f>'Pro 2'!H211</f>
        <v>0</v>
      </c>
      <c r="N99" s="61">
        <f>'Pro 2'!I211</f>
        <v>0</v>
      </c>
    </row>
    <row r="100" spans="4:30" x14ac:dyDescent="0.2">
      <c r="D100" s="138">
        <f t="shared" si="7"/>
        <v>0</v>
      </c>
      <c r="E100" s="139" t="s">
        <v>524</v>
      </c>
      <c r="F100" s="139" t="str">
        <f t="shared" si="5"/>
        <v>Domestic Sales</v>
      </c>
      <c r="G100" s="139" t="s">
        <v>542</v>
      </c>
      <c r="H100" s="81" t="s">
        <v>543</v>
      </c>
      <c r="I100" s="98">
        <f t="shared" si="6"/>
        <v>0</v>
      </c>
      <c r="J100" s="98">
        <f t="shared" si="4"/>
        <v>0</v>
      </c>
      <c r="K100" s="98">
        <f t="shared" si="4"/>
        <v>0</v>
      </c>
      <c r="L100" s="98">
        <f>'Pro 2'!G212</f>
        <v>0</v>
      </c>
      <c r="M100" s="98">
        <f>'Pro 2'!H212</f>
        <v>0</v>
      </c>
      <c r="N100" s="61">
        <f>'Pro 2'!I212</f>
        <v>0</v>
      </c>
    </row>
    <row r="101" spans="4:30" x14ac:dyDescent="0.2">
      <c r="D101" s="140">
        <f t="shared" si="7"/>
        <v>0</v>
      </c>
      <c r="E101" s="141" t="s">
        <v>524</v>
      </c>
      <c r="F101" s="141" t="str">
        <f t="shared" si="5"/>
        <v>Domestic Sales</v>
      </c>
      <c r="G101" s="141" t="s">
        <v>544</v>
      </c>
      <c r="H101" s="142" t="s">
        <v>545</v>
      </c>
      <c r="I101" s="64">
        <f t="shared" si="6"/>
        <v>0</v>
      </c>
      <c r="J101" s="64">
        <f t="shared" si="4"/>
        <v>0</v>
      </c>
      <c r="K101" s="64">
        <f t="shared" si="4"/>
        <v>0</v>
      </c>
      <c r="L101" s="64">
        <f>'Pro 2'!G213</f>
        <v>0</v>
      </c>
      <c r="M101" s="64">
        <f>'Pro 2'!H213</f>
        <v>0</v>
      </c>
      <c r="N101" s="65">
        <f>'Pro 2'!I213</f>
        <v>0</v>
      </c>
    </row>
    <row r="104" spans="4:30" x14ac:dyDescent="0.2">
      <c r="D104" s="115" t="s">
        <v>577</v>
      </c>
      <c r="E104" s="57"/>
      <c r="F104" s="57"/>
      <c r="G104" s="57"/>
      <c r="H104" s="57"/>
      <c r="I104" s="57"/>
      <c r="J104" s="57"/>
      <c r="K104" s="57"/>
      <c r="L104" s="57"/>
      <c r="M104" s="57"/>
      <c r="N104" s="57"/>
      <c r="O104" s="57"/>
      <c r="P104" s="968" t="s">
        <v>561</v>
      </c>
      <c r="Q104" s="968"/>
      <c r="R104" s="968"/>
      <c r="S104" s="968"/>
      <c r="T104" s="968"/>
      <c r="U104" s="968"/>
      <c r="V104" s="968"/>
      <c r="W104" s="968" t="s">
        <v>587</v>
      </c>
      <c r="X104" s="968"/>
      <c r="Y104" s="968"/>
      <c r="Z104" s="968"/>
      <c r="AA104" s="968"/>
      <c r="AB104" s="968"/>
      <c r="AC104" s="968"/>
      <c r="AD104" s="969"/>
    </row>
    <row r="105" spans="4:30" ht="25.5" x14ac:dyDescent="0.2">
      <c r="D105" s="143" t="s">
        <v>508</v>
      </c>
      <c r="E105" s="82" t="s">
        <v>509</v>
      </c>
      <c r="F105" s="82" t="s">
        <v>512</v>
      </c>
      <c r="G105" s="82" t="s">
        <v>514</v>
      </c>
      <c r="H105" s="82" t="s">
        <v>515</v>
      </c>
      <c r="I105" s="83" t="s">
        <v>578</v>
      </c>
      <c r="J105" s="83" t="s">
        <v>571</v>
      </c>
      <c r="K105" s="82" t="s">
        <v>546</v>
      </c>
      <c r="L105" s="83" t="s">
        <v>547</v>
      </c>
      <c r="M105" s="82" t="s">
        <v>548</v>
      </c>
      <c r="N105" s="83" t="s">
        <v>516</v>
      </c>
      <c r="O105" s="84" t="s">
        <v>579</v>
      </c>
      <c r="P105" s="84" t="s">
        <v>580</v>
      </c>
      <c r="Q105" s="84" t="s">
        <v>581</v>
      </c>
      <c r="R105" s="84" t="s">
        <v>582</v>
      </c>
      <c r="S105" s="84" t="s">
        <v>583</v>
      </c>
      <c r="T105" s="84" t="s">
        <v>584</v>
      </c>
      <c r="U105" s="84" t="s">
        <v>585</v>
      </c>
      <c r="V105" s="85" t="s">
        <v>586</v>
      </c>
      <c r="W105" s="84" t="s">
        <v>579</v>
      </c>
      <c r="X105" s="84" t="s">
        <v>580</v>
      </c>
      <c r="Y105" s="84" t="s">
        <v>581</v>
      </c>
      <c r="Z105" s="84" t="s">
        <v>582</v>
      </c>
      <c r="AA105" s="84" t="s">
        <v>583</v>
      </c>
      <c r="AB105" s="84" t="s">
        <v>584</v>
      </c>
      <c r="AC105" s="84" t="s">
        <v>585</v>
      </c>
      <c r="AD105" s="144" t="s">
        <v>586</v>
      </c>
    </row>
    <row r="106" spans="4:30" x14ac:dyDescent="0.2">
      <c r="D106" s="145">
        <f>D97</f>
        <v>0</v>
      </c>
      <c r="E106" s="86" t="s">
        <v>524</v>
      </c>
      <c r="F106" s="86" t="s">
        <v>549</v>
      </c>
      <c r="G106" s="86" t="s">
        <v>526</v>
      </c>
      <c r="H106" s="86" t="s">
        <v>526</v>
      </c>
      <c r="I106" s="86" t="s">
        <v>526</v>
      </c>
      <c r="J106" s="86" t="s">
        <v>526</v>
      </c>
      <c r="K106" s="87" t="s">
        <v>550</v>
      </c>
      <c r="L106" s="86">
        <f>'Pro 2'!C222</f>
        <v>0</v>
      </c>
      <c r="M106" s="86" t="e">
        <v>#N/A</v>
      </c>
      <c r="N106" s="86" t="s">
        <v>527</v>
      </c>
      <c r="O106" s="88">
        <f>'Pro 2'!E234</f>
        <v>0</v>
      </c>
      <c r="P106" s="88">
        <f>'Pro 2'!F234</f>
        <v>0</v>
      </c>
      <c r="Q106" s="88">
        <f>'Pro 2'!G234</f>
        <v>0</v>
      </c>
      <c r="R106" s="88">
        <f>'Pro 2'!H234</f>
        <v>0</v>
      </c>
      <c r="S106" s="88">
        <f>'Pro 2'!I234</f>
        <v>0</v>
      </c>
      <c r="T106" s="88">
        <f>'Pro 2'!J234</f>
        <v>0</v>
      </c>
      <c r="U106" s="88">
        <f>'Pro 2'!K234</f>
        <v>0</v>
      </c>
      <c r="V106" s="89">
        <f>'Pro 2'!L234</f>
        <v>0</v>
      </c>
      <c r="W106" s="88">
        <f>'Pro 2'!E235</f>
        <v>0</v>
      </c>
      <c r="X106" s="88">
        <f>'Pro 2'!F235</f>
        <v>0</v>
      </c>
      <c r="Y106" s="88">
        <f>'Pro 2'!G235</f>
        <v>0</v>
      </c>
      <c r="Z106" s="88">
        <f>'Pro 2'!H235</f>
        <v>0</v>
      </c>
      <c r="AA106" s="88">
        <f>'Pro 2'!I235</f>
        <v>0</v>
      </c>
      <c r="AB106" s="88">
        <f>'Pro 2'!J235</f>
        <v>0</v>
      </c>
      <c r="AC106" s="88">
        <f>'Pro 2'!K235</f>
        <v>0</v>
      </c>
      <c r="AD106" s="146">
        <f>'Pro 2'!L235</f>
        <v>0</v>
      </c>
    </row>
    <row r="107" spans="4:30" x14ac:dyDescent="0.2">
      <c r="D107" s="147">
        <f>D106</f>
        <v>0</v>
      </c>
      <c r="E107" s="90" t="s">
        <v>524</v>
      </c>
      <c r="F107" s="90" t="s">
        <v>549</v>
      </c>
      <c r="G107" s="90" t="s">
        <v>526</v>
      </c>
      <c r="H107" s="90" t="s">
        <v>526</v>
      </c>
      <c r="I107" s="90" t="s">
        <v>526</v>
      </c>
      <c r="J107" s="90" t="str">
        <f>J106</f>
        <v>DOM</v>
      </c>
      <c r="K107" s="91" t="s">
        <v>551</v>
      </c>
      <c r="L107" s="90">
        <f>'Pro 2'!E223</f>
        <v>0</v>
      </c>
      <c r="M107" s="90" t="e">
        <v>#N/A</v>
      </c>
      <c r="N107" s="90" t="str">
        <f t="shared" ref="N107:N110" si="8">N106</f>
        <v>Dom</v>
      </c>
      <c r="O107" s="92">
        <f>'Pro 2'!E238</f>
        <v>0</v>
      </c>
      <c r="P107" s="92">
        <f>'Pro 2'!F238</f>
        <v>0</v>
      </c>
      <c r="Q107" s="92">
        <f>'Pro 2'!G238</f>
        <v>0</v>
      </c>
      <c r="R107" s="92">
        <f>'Pro 2'!H238</f>
        <v>0</v>
      </c>
      <c r="S107" s="92">
        <f>'Pro 2'!I238</f>
        <v>0</v>
      </c>
      <c r="T107" s="92">
        <f>'Pro 2'!J238</f>
        <v>0</v>
      </c>
      <c r="U107" s="92">
        <f>'Pro 2'!K238</f>
        <v>0</v>
      </c>
      <c r="V107" s="93">
        <f>'Pro 2'!L238</f>
        <v>0</v>
      </c>
      <c r="W107" s="92">
        <f>'Pro 2'!E239</f>
        <v>0</v>
      </c>
      <c r="X107" s="92">
        <f>'Pro 2'!F239</f>
        <v>0</v>
      </c>
      <c r="Y107" s="92">
        <f>'Pro 2'!G239</f>
        <v>0</v>
      </c>
      <c r="Z107" s="92">
        <f>'Pro 2'!H239</f>
        <v>0</v>
      </c>
      <c r="AA107" s="92">
        <f>'Pro 2'!I239</f>
        <v>0</v>
      </c>
      <c r="AB107" s="92">
        <f>'Pro 2'!J239</f>
        <v>0</v>
      </c>
      <c r="AC107" s="92">
        <f>'Pro 2'!K239</f>
        <v>0</v>
      </c>
      <c r="AD107" s="148">
        <f>'Pro 2'!L239</f>
        <v>0</v>
      </c>
    </row>
    <row r="108" spans="4:30" x14ac:dyDescent="0.2">
      <c r="D108" s="147">
        <f t="shared" ref="D108:D110" si="9">D107</f>
        <v>0</v>
      </c>
      <c r="E108" s="94" t="s">
        <v>524</v>
      </c>
      <c r="F108" s="94" t="s">
        <v>549</v>
      </c>
      <c r="G108" s="94" t="s">
        <v>526</v>
      </c>
      <c r="H108" s="94" t="s">
        <v>526</v>
      </c>
      <c r="I108" s="94" t="s">
        <v>526</v>
      </c>
      <c r="J108" s="94" t="str">
        <f>J107</f>
        <v>DOM</v>
      </c>
      <c r="K108" s="95" t="s">
        <v>552</v>
      </c>
      <c r="L108" s="94">
        <f>'Pro 2'!E224</f>
        <v>0</v>
      </c>
      <c r="M108" s="94" t="e">
        <v>#N/A</v>
      </c>
      <c r="N108" s="94" t="str">
        <f t="shared" si="8"/>
        <v>Dom</v>
      </c>
      <c r="O108" s="96">
        <f>'Pro 2'!E242</f>
        <v>0</v>
      </c>
      <c r="P108" s="96">
        <f>'Pro 2'!F242</f>
        <v>0</v>
      </c>
      <c r="Q108" s="96">
        <f>'Pro 2'!G242</f>
        <v>0</v>
      </c>
      <c r="R108" s="96">
        <f>'Pro 2'!H242</f>
        <v>0</v>
      </c>
      <c r="S108" s="96">
        <f>'Pro 2'!I242</f>
        <v>0</v>
      </c>
      <c r="T108" s="96">
        <f>'Pro 2'!J242</f>
        <v>0</v>
      </c>
      <c r="U108" s="96">
        <f>'Pro 2'!K242</f>
        <v>0</v>
      </c>
      <c r="V108" s="97">
        <f>'Pro 2'!L242</f>
        <v>0</v>
      </c>
      <c r="W108" s="96">
        <f>'Pro 2'!E243</f>
        <v>0</v>
      </c>
      <c r="X108" s="96">
        <f>'Pro 2'!F243</f>
        <v>0</v>
      </c>
      <c r="Y108" s="96">
        <f>'Pro 2'!G243</f>
        <v>0</v>
      </c>
      <c r="Z108" s="96">
        <f>'Pro 2'!H243</f>
        <v>0</v>
      </c>
      <c r="AA108" s="96">
        <f>'Pro 2'!I243</f>
        <v>0</v>
      </c>
      <c r="AB108" s="96">
        <f>'Pro 2'!J243</f>
        <v>0</v>
      </c>
      <c r="AC108" s="96">
        <f>'Pro 2'!K243</f>
        <v>0</v>
      </c>
      <c r="AD108" s="149">
        <f>'Pro 2'!L243</f>
        <v>0</v>
      </c>
    </row>
    <row r="109" spans="4:30" x14ac:dyDescent="0.2">
      <c r="D109" s="147">
        <f t="shared" si="9"/>
        <v>0</v>
      </c>
      <c r="E109" s="90" t="s">
        <v>524</v>
      </c>
      <c r="F109" s="90" t="s">
        <v>549</v>
      </c>
      <c r="G109" s="90" t="s">
        <v>526</v>
      </c>
      <c r="H109" s="90" t="s">
        <v>526</v>
      </c>
      <c r="I109" s="90" t="s">
        <v>526</v>
      </c>
      <c r="J109" s="90" t="str">
        <f>J108</f>
        <v>DOM</v>
      </c>
      <c r="K109" s="91" t="s">
        <v>553</v>
      </c>
      <c r="L109" s="90">
        <f>'Pro 2'!E225</f>
        <v>0</v>
      </c>
      <c r="M109" s="90" t="e">
        <v>#N/A</v>
      </c>
      <c r="N109" s="90" t="str">
        <f t="shared" si="8"/>
        <v>Dom</v>
      </c>
      <c r="O109" s="92">
        <f>'Pro 2'!E246</f>
        <v>0</v>
      </c>
      <c r="P109" s="92">
        <f>'Pro 2'!F246</f>
        <v>0</v>
      </c>
      <c r="Q109" s="92">
        <f>'Pro 2'!G246</f>
        <v>0</v>
      </c>
      <c r="R109" s="92">
        <f>'Pro 2'!H246</f>
        <v>0</v>
      </c>
      <c r="S109" s="92">
        <f>'Pro 2'!I246</f>
        <v>0</v>
      </c>
      <c r="T109" s="92">
        <f>'Pro 2'!J246</f>
        <v>0</v>
      </c>
      <c r="U109" s="92">
        <f>'Pro 2'!K246</f>
        <v>0</v>
      </c>
      <c r="V109" s="93">
        <f>'Pro 2'!L246</f>
        <v>0</v>
      </c>
      <c r="W109" s="92">
        <f>'Pro 2'!E247</f>
        <v>0</v>
      </c>
      <c r="X109" s="92">
        <f>'Pro 2'!F247</f>
        <v>0</v>
      </c>
      <c r="Y109" s="92">
        <f>'Pro 2'!G247</f>
        <v>0</v>
      </c>
      <c r="Z109" s="92">
        <f>'Pro 2'!H247</f>
        <v>0</v>
      </c>
      <c r="AA109" s="92">
        <f>'Pro 2'!I247</f>
        <v>0</v>
      </c>
      <c r="AB109" s="92">
        <f>'Pro 2'!J247</f>
        <v>0</v>
      </c>
      <c r="AC109" s="92">
        <f>'Pro 2'!K247</f>
        <v>0</v>
      </c>
      <c r="AD109" s="148">
        <f>'Pro 2'!L247</f>
        <v>0</v>
      </c>
    </row>
    <row r="110" spans="4:30" x14ac:dyDescent="0.2">
      <c r="D110" s="150">
        <f t="shared" si="9"/>
        <v>0</v>
      </c>
      <c r="E110" s="151" t="s">
        <v>524</v>
      </c>
      <c r="F110" s="151" t="s">
        <v>549</v>
      </c>
      <c r="G110" s="151" t="s">
        <v>526</v>
      </c>
      <c r="H110" s="151" t="s">
        <v>526</v>
      </c>
      <c r="I110" s="151" t="s">
        <v>526</v>
      </c>
      <c r="J110" s="151" t="str">
        <f>J109</f>
        <v>DOM</v>
      </c>
      <c r="K110" s="152" t="s">
        <v>554</v>
      </c>
      <c r="L110" s="151">
        <f>'Pro 2'!E226</f>
        <v>0</v>
      </c>
      <c r="M110" s="151" t="e">
        <v>#N/A</v>
      </c>
      <c r="N110" s="151" t="str">
        <f t="shared" si="8"/>
        <v>Dom</v>
      </c>
      <c r="O110" s="153">
        <f>'Pro 2'!E250</f>
        <v>0</v>
      </c>
      <c r="P110" s="153">
        <f>'Pro 2'!F250</f>
        <v>0</v>
      </c>
      <c r="Q110" s="153">
        <f>'Pro 2'!G250</f>
        <v>0</v>
      </c>
      <c r="R110" s="153">
        <f>'Pro 2'!H250</f>
        <v>0</v>
      </c>
      <c r="S110" s="153">
        <f>'Pro 2'!I250</f>
        <v>0</v>
      </c>
      <c r="T110" s="153">
        <f>'Pro 2'!J250</f>
        <v>0</v>
      </c>
      <c r="U110" s="153">
        <f>'Pro 2'!K250</f>
        <v>0</v>
      </c>
      <c r="V110" s="154">
        <f>'Pro 2'!L250</f>
        <v>0</v>
      </c>
      <c r="W110" s="153">
        <f>'Pro 2'!E251</f>
        <v>0</v>
      </c>
      <c r="X110" s="153">
        <f>'Pro 2'!F251</f>
        <v>0</v>
      </c>
      <c r="Y110" s="153">
        <f>'Pro 2'!G251</f>
        <v>0</v>
      </c>
      <c r="Z110" s="153">
        <f>'Pro 2'!H251</f>
        <v>0</v>
      </c>
      <c r="AA110" s="153">
        <f>'Pro 2'!I251</f>
        <v>0</v>
      </c>
      <c r="AB110" s="153">
        <f>'Pro 2'!J251</f>
        <v>0</v>
      </c>
      <c r="AC110" s="153">
        <f>'Pro 2'!K251</f>
        <v>0</v>
      </c>
      <c r="AD110" s="155">
        <f>'Pro 2'!L251</f>
        <v>0</v>
      </c>
    </row>
  </sheetData>
  <sheetProtection algorithmName="SHA-512" hashValue="mvgNX7ra0Z6kI55nsx0vnq/5S/rtB5khfviDEZPXyyLf6sxToYq3kxML0B4FmJkr3A2ED9/+xvM969IG6w8QJQ==" saltValue="ue2iSUPIDT2M1apsIbSYG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1D51-9986-45B0-9053-769C60EFCEBF}">
  <sheetPr>
    <tabColor rgb="FFFFC000"/>
  </sheetPr>
  <dimension ref="A1:E82"/>
  <sheetViews>
    <sheetView topLeftCell="A49" workbookViewId="0">
      <selection activeCell="E82" sqref="E82"/>
    </sheetView>
  </sheetViews>
  <sheetFormatPr defaultColWidth="9.140625" defaultRowHeight="12.75" x14ac:dyDescent="0.2"/>
  <cols>
    <col min="1" max="1" width="11.7109375" style="405" bestFit="1" customWidth="1"/>
    <col min="2" max="2" width="11.5703125" style="405" bestFit="1" customWidth="1"/>
    <col min="3" max="3" width="11.5703125" style="405" customWidth="1"/>
    <col min="4" max="4" width="14.28515625" style="405" customWidth="1"/>
    <col min="5" max="5" width="110.140625" style="405" customWidth="1"/>
    <col min="6" max="16384" width="9.140625" style="405"/>
  </cols>
  <sheetData>
    <row r="1" spans="1:5" s="645" customFormat="1" x14ac:dyDescent="0.2">
      <c r="A1" s="644" t="s">
        <v>968</v>
      </c>
      <c r="B1" s="644" t="s">
        <v>969</v>
      </c>
      <c r="C1" s="644" t="s">
        <v>970</v>
      </c>
      <c r="D1" s="644" t="s">
        <v>289</v>
      </c>
      <c r="E1" s="644" t="s">
        <v>971</v>
      </c>
    </row>
    <row r="2" spans="1:5" x14ac:dyDescent="0.2">
      <c r="A2" s="405">
        <f>Intro!$E$79</f>
        <v>0</v>
      </c>
      <c r="B2" s="646" t="s">
        <v>972</v>
      </c>
      <c r="C2" s="647"/>
      <c r="D2" s="405" t="s">
        <v>973</v>
      </c>
      <c r="E2" s="648">
        <f>Public!B17</f>
        <v>0</v>
      </c>
    </row>
    <row r="3" spans="1:5" x14ac:dyDescent="0.2">
      <c r="A3" s="405">
        <f>Intro!$E$79</f>
        <v>0</v>
      </c>
      <c r="B3" s="646" t="s">
        <v>972</v>
      </c>
      <c r="C3" s="647"/>
      <c r="D3" s="405" t="s">
        <v>974</v>
      </c>
      <c r="E3" s="648">
        <f>Public!B59</f>
        <v>0</v>
      </c>
    </row>
    <row r="4" spans="1:5" x14ac:dyDescent="0.2">
      <c r="A4" s="405">
        <f>Intro!$E$79</f>
        <v>0</v>
      </c>
      <c r="B4" s="646" t="s">
        <v>972</v>
      </c>
      <c r="C4" s="647"/>
      <c r="D4" s="405" t="s">
        <v>975</v>
      </c>
      <c r="E4" s="648">
        <f>Public!B72</f>
        <v>0</v>
      </c>
    </row>
    <row r="5" spans="1:5" x14ac:dyDescent="0.2">
      <c r="A5" s="405">
        <f>Intro!$E$79</f>
        <v>0</v>
      </c>
      <c r="B5" s="646" t="s">
        <v>972</v>
      </c>
      <c r="C5" s="647"/>
      <c r="D5" s="405" t="s">
        <v>977</v>
      </c>
      <c r="E5" s="648">
        <f>Public!B152</f>
        <v>0</v>
      </c>
    </row>
    <row r="6" spans="1:5" x14ac:dyDescent="0.2">
      <c r="A6" s="405">
        <f>Intro!$E$79</f>
        <v>0</v>
      </c>
      <c r="B6" s="646" t="s">
        <v>972</v>
      </c>
      <c r="C6" s="647"/>
      <c r="D6" s="405" t="s">
        <v>1007</v>
      </c>
      <c r="E6" s="648">
        <f>Public!E165</f>
        <v>0</v>
      </c>
    </row>
    <row r="7" spans="1:5" x14ac:dyDescent="0.2">
      <c r="A7" s="405">
        <f>Intro!$E$79</f>
        <v>0</v>
      </c>
      <c r="B7" s="646" t="s">
        <v>972</v>
      </c>
      <c r="C7" s="647"/>
      <c r="D7" s="405" t="s">
        <v>1008</v>
      </c>
      <c r="E7" s="648">
        <f>Public!E166</f>
        <v>0</v>
      </c>
    </row>
    <row r="8" spans="1:5" x14ac:dyDescent="0.2">
      <c r="A8" s="405">
        <f>Intro!$E$79</f>
        <v>0</v>
      </c>
      <c r="B8" s="646" t="s">
        <v>972</v>
      </c>
      <c r="C8" s="647"/>
      <c r="D8" s="405" t="s">
        <v>1009</v>
      </c>
      <c r="E8" s="648">
        <f>Public!E167</f>
        <v>0</v>
      </c>
    </row>
    <row r="9" spans="1:5" x14ac:dyDescent="0.2">
      <c r="A9" s="405">
        <f>Intro!$E$79</f>
        <v>0</v>
      </c>
      <c r="B9" s="646" t="s">
        <v>972</v>
      </c>
      <c r="C9" s="647"/>
      <c r="D9" s="405" t="s">
        <v>1004</v>
      </c>
      <c r="E9" s="648">
        <f>Public!B173</f>
        <v>0</v>
      </c>
    </row>
    <row r="10" spans="1:5" x14ac:dyDescent="0.2">
      <c r="A10" s="405">
        <f>Intro!$E$79</f>
        <v>0</v>
      </c>
      <c r="B10" s="646" t="s">
        <v>972</v>
      </c>
      <c r="C10" s="647"/>
      <c r="D10" s="405" t="s">
        <v>982</v>
      </c>
      <c r="E10" s="648">
        <f>Public!B186</f>
        <v>0</v>
      </c>
    </row>
    <row r="11" spans="1:5" x14ac:dyDescent="0.2">
      <c r="A11" s="405">
        <f>Intro!$E$79</f>
        <v>0</v>
      </c>
      <c r="B11" s="646" t="s">
        <v>972</v>
      </c>
      <c r="C11" s="647"/>
      <c r="D11" s="405" t="s">
        <v>1022</v>
      </c>
      <c r="E11" s="648">
        <f>Public!E201</f>
        <v>0</v>
      </c>
    </row>
    <row r="12" spans="1:5" x14ac:dyDescent="0.2">
      <c r="A12" s="405">
        <f>Intro!$E$79</f>
        <v>0</v>
      </c>
      <c r="B12" s="646" t="s">
        <v>972</v>
      </c>
      <c r="C12" s="647"/>
      <c r="D12" s="405" t="s">
        <v>1023</v>
      </c>
      <c r="E12" s="648">
        <f>Public!E206</f>
        <v>0</v>
      </c>
    </row>
    <row r="13" spans="1:5" x14ac:dyDescent="0.2">
      <c r="A13" s="405">
        <f>Intro!$E$79</f>
        <v>0</v>
      </c>
      <c r="B13" s="646" t="s">
        <v>972</v>
      </c>
      <c r="C13" s="647"/>
      <c r="D13" s="405" t="s">
        <v>1024</v>
      </c>
      <c r="E13" s="648">
        <f>Public!E211</f>
        <v>0</v>
      </c>
    </row>
    <row r="14" spans="1:5" x14ac:dyDescent="0.2">
      <c r="A14" s="405">
        <f>Intro!$E$79</f>
        <v>0</v>
      </c>
      <c r="B14" s="646" t="s">
        <v>972</v>
      </c>
      <c r="C14" s="647"/>
      <c r="D14" s="405" t="s">
        <v>1005</v>
      </c>
      <c r="E14" s="648">
        <f>Public!B222</f>
        <v>0</v>
      </c>
    </row>
    <row r="15" spans="1:5" x14ac:dyDescent="0.2">
      <c r="A15" s="405">
        <f>Intro!$E$79</f>
        <v>0</v>
      </c>
      <c r="B15" s="646" t="s">
        <v>972</v>
      </c>
      <c r="C15" s="647"/>
      <c r="D15" s="405" t="s">
        <v>984</v>
      </c>
      <c r="E15" s="648">
        <f>Public!B236</f>
        <v>0</v>
      </c>
    </row>
    <row r="16" spans="1:5" x14ac:dyDescent="0.2">
      <c r="A16" s="405">
        <f>Intro!$E$79</f>
        <v>0</v>
      </c>
      <c r="B16" s="646" t="s">
        <v>972</v>
      </c>
      <c r="C16" s="647"/>
      <c r="D16" s="405" t="s">
        <v>985</v>
      </c>
      <c r="E16" s="648">
        <f>Public!B249</f>
        <v>0</v>
      </c>
    </row>
    <row r="17" spans="1:5" x14ac:dyDescent="0.2">
      <c r="A17" s="405">
        <f>Intro!$E$79</f>
        <v>0</v>
      </c>
      <c r="B17" s="646" t="s">
        <v>972</v>
      </c>
      <c r="C17" s="647"/>
      <c r="D17" s="405" t="s">
        <v>986</v>
      </c>
      <c r="E17" s="648">
        <f>Public!E263</f>
        <v>0</v>
      </c>
    </row>
    <row r="18" spans="1:5" x14ac:dyDescent="0.2">
      <c r="A18" s="405">
        <f>Intro!$E$79</f>
        <v>0</v>
      </c>
      <c r="B18" s="646" t="s">
        <v>972</v>
      </c>
      <c r="C18" s="647"/>
      <c r="D18" s="405" t="s">
        <v>1025</v>
      </c>
      <c r="E18" s="648">
        <f>Public!B265</f>
        <v>0</v>
      </c>
    </row>
    <row r="19" spans="1:5" x14ac:dyDescent="0.2">
      <c r="A19" s="405">
        <f>Intro!$E$79</f>
        <v>0</v>
      </c>
      <c r="B19" s="646" t="s">
        <v>972</v>
      </c>
      <c r="C19" s="647"/>
      <c r="D19" s="405" t="s">
        <v>987</v>
      </c>
      <c r="E19" s="648">
        <f>Public!B278</f>
        <v>0</v>
      </c>
    </row>
    <row r="20" spans="1:5" x14ac:dyDescent="0.2">
      <c r="A20" s="405">
        <f>Intro!$E$79</f>
        <v>0</v>
      </c>
      <c r="B20" s="646" t="s">
        <v>972</v>
      </c>
      <c r="C20" s="647"/>
      <c r="D20" s="405" t="s">
        <v>988</v>
      </c>
      <c r="E20" s="648">
        <f>Public!B291</f>
        <v>0</v>
      </c>
    </row>
    <row r="21" spans="1:5" x14ac:dyDescent="0.2">
      <c r="A21" s="405">
        <f>Intro!$E$79</f>
        <v>0</v>
      </c>
      <c r="B21" s="646" t="s">
        <v>972</v>
      </c>
      <c r="C21" s="647"/>
      <c r="D21" s="405" t="s">
        <v>989</v>
      </c>
      <c r="E21" s="648">
        <f>Public!B305</f>
        <v>0</v>
      </c>
    </row>
    <row r="22" spans="1:5" x14ac:dyDescent="0.2">
      <c r="A22" s="405">
        <f>Intro!$E$79</f>
        <v>0</v>
      </c>
      <c r="B22" s="646" t="s">
        <v>972</v>
      </c>
      <c r="C22" s="647"/>
      <c r="D22" s="405" t="s">
        <v>990</v>
      </c>
      <c r="E22" s="648">
        <f>Public!B320</f>
        <v>0</v>
      </c>
    </row>
    <row r="23" spans="1:5" x14ac:dyDescent="0.2">
      <c r="A23" s="405">
        <f>Intro!$E$79</f>
        <v>0</v>
      </c>
      <c r="B23" s="646" t="s">
        <v>972</v>
      </c>
      <c r="C23" s="647"/>
      <c r="D23" s="405" t="s">
        <v>991</v>
      </c>
      <c r="E23" s="648">
        <f>Public!B334</f>
        <v>0</v>
      </c>
    </row>
    <row r="24" spans="1:5" x14ac:dyDescent="0.2">
      <c r="A24" s="405">
        <f>Intro!$E$79</f>
        <v>0</v>
      </c>
      <c r="B24" s="646" t="s">
        <v>972</v>
      </c>
      <c r="C24" s="647"/>
      <c r="D24" s="405" t="s">
        <v>992</v>
      </c>
      <c r="E24" s="648">
        <f>Public!B348</f>
        <v>0</v>
      </c>
    </row>
    <row r="25" spans="1:5" x14ac:dyDescent="0.2">
      <c r="A25" s="405">
        <f>Intro!$E$79</f>
        <v>0</v>
      </c>
      <c r="B25" s="646" t="s">
        <v>972</v>
      </c>
      <c r="C25" s="647"/>
      <c r="D25" s="405" t="s">
        <v>993</v>
      </c>
      <c r="E25" s="648">
        <f>Public!B362</f>
        <v>0</v>
      </c>
    </row>
    <row r="26" spans="1:5" x14ac:dyDescent="0.2">
      <c r="A26" s="405">
        <f>Intro!$E$79</f>
        <v>0</v>
      </c>
      <c r="B26" s="646" t="s">
        <v>972</v>
      </c>
      <c r="C26" s="647"/>
      <c r="D26" s="405" t="s">
        <v>1026</v>
      </c>
      <c r="E26" s="648">
        <f>Public!I375</f>
        <v>0</v>
      </c>
    </row>
    <row r="27" spans="1:5" x14ac:dyDescent="0.2">
      <c r="A27" s="405">
        <f>Intro!$E$79</f>
        <v>0</v>
      </c>
      <c r="B27" s="646" t="s">
        <v>972</v>
      </c>
      <c r="C27" s="647"/>
      <c r="D27" s="405" t="s">
        <v>1027</v>
      </c>
      <c r="E27" s="648">
        <f>Public!I376</f>
        <v>0</v>
      </c>
    </row>
    <row r="28" spans="1:5" x14ac:dyDescent="0.2">
      <c r="A28" s="405">
        <f>Intro!$E$79</f>
        <v>0</v>
      </c>
      <c r="B28" s="646" t="s">
        <v>972</v>
      </c>
      <c r="C28" s="647"/>
      <c r="D28" s="405" t="s">
        <v>1028</v>
      </c>
      <c r="E28" s="648">
        <f>Public!I377</f>
        <v>0</v>
      </c>
    </row>
    <row r="29" spans="1:5" x14ac:dyDescent="0.2">
      <c r="A29" s="405">
        <f>Intro!$E$79</f>
        <v>0</v>
      </c>
      <c r="B29" s="646" t="s">
        <v>972</v>
      </c>
      <c r="C29" s="647"/>
      <c r="D29" s="405" t="s">
        <v>1029</v>
      </c>
      <c r="E29" s="648">
        <f>Public!B381</f>
        <v>0</v>
      </c>
    </row>
    <row r="30" spans="1:5" x14ac:dyDescent="0.2">
      <c r="A30" s="405">
        <f>Intro!$E$79</f>
        <v>0</v>
      </c>
      <c r="B30" s="646" t="s">
        <v>972</v>
      </c>
      <c r="C30" s="647"/>
      <c r="D30" s="405" t="s">
        <v>1030</v>
      </c>
      <c r="E30" s="648">
        <f>Public!B394</f>
        <v>0</v>
      </c>
    </row>
    <row r="31" spans="1:5" x14ac:dyDescent="0.2">
      <c r="A31" s="405">
        <f>Intro!$E$79</f>
        <v>0</v>
      </c>
      <c r="B31" s="646" t="s">
        <v>972</v>
      </c>
      <c r="C31" s="647"/>
      <c r="D31" s="405" t="s">
        <v>994</v>
      </c>
      <c r="E31" s="648">
        <f>Public!B410</f>
        <v>0</v>
      </c>
    </row>
    <row r="32" spans="1:5" x14ac:dyDescent="0.2">
      <c r="A32" s="405">
        <f>Intro!$E$79</f>
        <v>0</v>
      </c>
      <c r="B32" s="646" t="s">
        <v>972</v>
      </c>
      <c r="C32" s="647"/>
      <c r="D32" s="405" t="s">
        <v>995</v>
      </c>
      <c r="E32" s="648">
        <f>Public!B425</f>
        <v>0</v>
      </c>
    </row>
    <row r="33" spans="1:5" x14ac:dyDescent="0.2">
      <c r="A33" s="405">
        <f>Intro!$E$79</f>
        <v>0</v>
      </c>
      <c r="B33" s="646" t="s">
        <v>972</v>
      </c>
      <c r="C33" s="647"/>
      <c r="D33" s="405" t="s">
        <v>996</v>
      </c>
      <c r="E33" s="648">
        <f>Public!B439</f>
        <v>0</v>
      </c>
    </row>
    <row r="34" spans="1:5" x14ac:dyDescent="0.2">
      <c r="A34" s="405">
        <f>Intro!$E$79</f>
        <v>0</v>
      </c>
      <c r="B34" s="646" t="s">
        <v>972</v>
      </c>
      <c r="C34" s="647"/>
      <c r="D34" s="405" t="s">
        <v>997</v>
      </c>
      <c r="E34" s="648">
        <f>Public!B453</f>
        <v>0</v>
      </c>
    </row>
    <row r="35" spans="1:5" x14ac:dyDescent="0.2">
      <c r="A35" s="405">
        <f>Intro!$E$79</f>
        <v>0</v>
      </c>
      <c r="B35" s="646" t="s">
        <v>998</v>
      </c>
      <c r="C35" s="405" t="s">
        <v>292</v>
      </c>
      <c r="D35" s="648">
        <f>AddPub!D13</f>
        <v>0</v>
      </c>
      <c r="E35" s="648">
        <f>AddPub!E13</f>
        <v>0</v>
      </c>
    </row>
    <row r="36" spans="1:5" x14ac:dyDescent="0.2">
      <c r="A36" s="405">
        <f>Intro!$E$79</f>
        <v>0</v>
      </c>
      <c r="B36" s="646" t="s">
        <v>998</v>
      </c>
      <c r="C36" s="405" t="s">
        <v>294</v>
      </c>
      <c r="D36" s="648">
        <f>AddPub!D23</f>
        <v>0</v>
      </c>
      <c r="E36" s="648">
        <f>AddPub!E22</f>
        <v>0</v>
      </c>
    </row>
    <row r="37" spans="1:5" x14ac:dyDescent="0.2">
      <c r="A37" s="405">
        <f>Intro!$E$79</f>
        <v>0</v>
      </c>
      <c r="B37" s="646" t="s">
        <v>998</v>
      </c>
      <c r="C37" s="405" t="s">
        <v>296</v>
      </c>
      <c r="D37" s="648">
        <f>AddPub!D33</f>
        <v>0</v>
      </c>
      <c r="E37" s="648">
        <f>AddPub!E31</f>
        <v>0</v>
      </c>
    </row>
    <row r="38" spans="1:5" x14ac:dyDescent="0.2">
      <c r="A38" s="405">
        <f>Intro!$E$79</f>
        <v>0</v>
      </c>
      <c r="B38" s="646" t="s">
        <v>998</v>
      </c>
      <c r="C38" s="405" t="s">
        <v>298</v>
      </c>
      <c r="D38" s="648">
        <f>AddPub!D43</f>
        <v>0</v>
      </c>
      <c r="E38" s="648">
        <f>AddPub!E40</f>
        <v>0</v>
      </c>
    </row>
    <row r="39" spans="1:5" x14ac:dyDescent="0.2">
      <c r="A39" s="405">
        <f>Intro!$E$79</f>
        <v>0</v>
      </c>
      <c r="B39" s="646" t="s">
        <v>998</v>
      </c>
      <c r="C39" s="405" t="s">
        <v>300</v>
      </c>
      <c r="D39" s="648">
        <f>AddPub!D53</f>
        <v>0</v>
      </c>
      <c r="E39" s="648">
        <f>AddPub!E49</f>
        <v>0</v>
      </c>
    </row>
    <row r="40" spans="1:5" x14ac:dyDescent="0.2">
      <c r="A40" s="405">
        <f>Intro!$E$79</f>
        <v>0</v>
      </c>
      <c r="B40" s="646" t="s">
        <v>999</v>
      </c>
      <c r="D40" s="405" t="s">
        <v>1000</v>
      </c>
      <c r="E40" s="648">
        <f>'Pro 1'!B37</f>
        <v>0</v>
      </c>
    </row>
    <row r="41" spans="1:5" x14ac:dyDescent="0.2">
      <c r="A41" s="405">
        <f>Intro!$E$79</f>
        <v>0</v>
      </c>
      <c r="B41" s="646" t="s">
        <v>999</v>
      </c>
      <c r="D41" s="405" t="s">
        <v>974</v>
      </c>
      <c r="E41" s="648">
        <f>'Pro 1'!B50</f>
        <v>0</v>
      </c>
    </row>
    <row r="42" spans="1:5" x14ac:dyDescent="0.2">
      <c r="A42" s="405">
        <f>Intro!$E$79</f>
        <v>0</v>
      </c>
      <c r="B42" s="646" t="s">
        <v>999</v>
      </c>
      <c r="D42" s="405" t="s">
        <v>975</v>
      </c>
      <c r="E42" s="648">
        <f>'Pro 1'!B63</f>
        <v>0</v>
      </c>
    </row>
    <row r="43" spans="1:5" x14ac:dyDescent="0.2">
      <c r="A43" s="405">
        <f>Intro!$E$79</f>
        <v>0</v>
      </c>
      <c r="B43" s="646" t="s">
        <v>999</v>
      </c>
      <c r="D43" s="405" t="s">
        <v>976</v>
      </c>
      <c r="E43" s="648">
        <f>'Pro 1'!B77</f>
        <v>0</v>
      </c>
    </row>
    <row r="44" spans="1:5" x14ac:dyDescent="0.2">
      <c r="A44" s="405">
        <f>Intro!$E$79</f>
        <v>0</v>
      </c>
      <c r="B44" s="646" t="s">
        <v>999</v>
      </c>
      <c r="D44" s="405" t="s">
        <v>1001</v>
      </c>
      <c r="E44" s="648">
        <f>'Pro 1'!B92</f>
        <v>0</v>
      </c>
    </row>
    <row r="45" spans="1:5" x14ac:dyDescent="0.2">
      <c r="A45" s="405">
        <f>Intro!$E$79</f>
        <v>0</v>
      </c>
      <c r="B45" s="646" t="s">
        <v>999</v>
      </c>
      <c r="D45" s="405" t="s">
        <v>977</v>
      </c>
      <c r="E45" s="648">
        <f>'Pro 1'!B105</f>
        <v>0</v>
      </c>
    </row>
    <row r="46" spans="1:5" x14ac:dyDescent="0.2">
      <c r="A46" s="405">
        <f>Intro!$E$79</f>
        <v>0</v>
      </c>
      <c r="B46" s="646" t="s">
        <v>1002</v>
      </c>
      <c r="D46" s="405" t="s">
        <v>1000</v>
      </c>
      <c r="E46" s="648">
        <f>'Pro 2'!B61</f>
        <v>0</v>
      </c>
    </row>
    <row r="47" spans="1:5" x14ac:dyDescent="0.2">
      <c r="A47" s="405">
        <f>Intro!$E$79</f>
        <v>0</v>
      </c>
      <c r="B47" s="646" t="s">
        <v>1002</v>
      </c>
      <c r="D47" s="405" t="s">
        <v>974</v>
      </c>
      <c r="E47" s="648">
        <f>'Pro 2'!B75</f>
        <v>0</v>
      </c>
    </row>
    <row r="48" spans="1:5" x14ac:dyDescent="0.2">
      <c r="A48" s="405">
        <f>Intro!$E$79</f>
        <v>0</v>
      </c>
      <c r="B48" s="646" t="s">
        <v>1002</v>
      </c>
      <c r="D48" s="405" t="s">
        <v>975</v>
      </c>
      <c r="E48" s="648">
        <f>'Pro 2'!B89</f>
        <v>0</v>
      </c>
    </row>
    <row r="49" spans="1:5" x14ac:dyDescent="0.2">
      <c r="A49" s="405">
        <f>Intro!$E$79</f>
        <v>0</v>
      </c>
      <c r="B49" s="646" t="s">
        <v>1002</v>
      </c>
      <c r="D49" s="405" t="s">
        <v>976</v>
      </c>
      <c r="E49" s="648">
        <f>'Pro 2'!B103</f>
        <v>0</v>
      </c>
    </row>
    <row r="50" spans="1:5" x14ac:dyDescent="0.2">
      <c r="A50" s="405">
        <f>Intro!$E$79</f>
        <v>0</v>
      </c>
      <c r="B50" s="646" t="s">
        <v>1002</v>
      </c>
      <c r="D50" s="405" t="s">
        <v>1001</v>
      </c>
      <c r="E50" s="648">
        <f>'Pro 2'!B116</f>
        <v>0</v>
      </c>
    </row>
    <row r="51" spans="1:5" x14ac:dyDescent="0.2">
      <c r="A51" s="405">
        <f>Intro!$E$79</f>
        <v>0</v>
      </c>
      <c r="B51" s="646" t="s">
        <v>1002</v>
      </c>
      <c r="D51" s="405" t="s">
        <v>977</v>
      </c>
      <c r="E51" s="648">
        <f>'Pro 2'!B131</f>
        <v>0</v>
      </c>
    </row>
    <row r="52" spans="1:5" x14ac:dyDescent="0.2">
      <c r="A52" s="405">
        <f>Intro!$E$79</f>
        <v>0</v>
      </c>
      <c r="B52" s="646" t="s">
        <v>1002</v>
      </c>
      <c r="D52" s="405" t="s">
        <v>1003</v>
      </c>
      <c r="E52" s="648">
        <f>'Pro 2'!B1503</f>
        <v>0</v>
      </c>
    </row>
    <row r="53" spans="1:5" x14ac:dyDescent="0.2">
      <c r="A53" s="405">
        <f>Intro!$E$79</f>
        <v>0</v>
      </c>
      <c r="B53" s="646" t="s">
        <v>1002</v>
      </c>
      <c r="D53" s="405" t="s">
        <v>1004</v>
      </c>
      <c r="E53" s="648">
        <f>'Pro 2'!B164</f>
        <v>0</v>
      </c>
    </row>
    <row r="54" spans="1:5" x14ac:dyDescent="0.2">
      <c r="A54" s="405">
        <f>Intro!$E$79</f>
        <v>0</v>
      </c>
      <c r="B54" s="646" t="s">
        <v>1002</v>
      </c>
      <c r="D54" s="405" t="s">
        <v>982</v>
      </c>
      <c r="E54" s="648">
        <f>'Pro 2'!B178</f>
        <v>0</v>
      </c>
    </row>
    <row r="55" spans="1:5" x14ac:dyDescent="0.2">
      <c r="A55" s="405">
        <f>Intro!$E$79</f>
        <v>0</v>
      </c>
      <c r="B55" s="646" t="s">
        <v>1002</v>
      </c>
      <c r="D55" s="405" t="s">
        <v>983</v>
      </c>
      <c r="E55" s="648">
        <f>'Pro 2'!B192</f>
        <v>0</v>
      </c>
    </row>
    <row r="56" spans="1:5" x14ac:dyDescent="0.2">
      <c r="A56" s="405">
        <f>Intro!$E$79</f>
        <v>0</v>
      </c>
      <c r="B56" s="646" t="s">
        <v>1006</v>
      </c>
      <c r="D56" s="405" t="s">
        <v>975</v>
      </c>
      <c r="E56" s="648">
        <f>'Pro 3'!B71</f>
        <v>0</v>
      </c>
    </row>
    <row r="57" spans="1:5" x14ac:dyDescent="0.2">
      <c r="A57" s="405">
        <f>Intro!$E$79</f>
        <v>0</v>
      </c>
      <c r="B57" s="646" t="s">
        <v>1006</v>
      </c>
      <c r="D57" s="405" t="s">
        <v>976</v>
      </c>
      <c r="E57" s="648">
        <f>'Pro 3'!B85</f>
        <v>0</v>
      </c>
    </row>
    <row r="58" spans="1:5" x14ac:dyDescent="0.2">
      <c r="A58" s="405">
        <f>Intro!$E$79</f>
        <v>0</v>
      </c>
      <c r="B58" s="646" t="s">
        <v>1006</v>
      </c>
      <c r="D58" s="405" t="s">
        <v>978</v>
      </c>
      <c r="E58" s="648">
        <f>'Pro 3'!B239</f>
        <v>0</v>
      </c>
    </row>
    <row r="59" spans="1:5" x14ac:dyDescent="0.2">
      <c r="A59" s="405">
        <f>Intro!$E$79</f>
        <v>0</v>
      </c>
      <c r="B59" s="646" t="s">
        <v>1006</v>
      </c>
      <c r="D59" s="405" t="s">
        <v>979</v>
      </c>
      <c r="E59" s="648">
        <f>'Pro 3'!E258</f>
        <v>0</v>
      </c>
    </row>
    <row r="60" spans="1:5" x14ac:dyDescent="0.2">
      <c r="A60" s="405">
        <f>Intro!$E$79</f>
        <v>0</v>
      </c>
      <c r="B60" s="646" t="s">
        <v>1006</v>
      </c>
      <c r="D60" s="405" t="s">
        <v>980</v>
      </c>
      <c r="E60" s="648">
        <f>'Pro 3'!E266</f>
        <v>0</v>
      </c>
    </row>
    <row r="61" spans="1:5" x14ac:dyDescent="0.2">
      <c r="A61" s="405">
        <f>Intro!$E$79</f>
        <v>0</v>
      </c>
      <c r="B61" s="646" t="s">
        <v>1006</v>
      </c>
      <c r="D61" s="405" t="s">
        <v>981</v>
      </c>
      <c r="E61" s="648">
        <f>'Pro 3'!E274</f>
        <v>0</v>
      </c>
    </row>
    <row r="62" spans="1:5" x14ac:dyDescent="0.2">
      <c r="A62" s="405">
        <f>Intro!$E$79</f>
        <v>0</v>
      </c>
      <c r="B62" s="646" t="s">
        <v>1006</v>
      </c>
      <c r="D62" s="405" t="s">
        <v>982</v>
      </c>
      <c r="E62" s="648">
        <f>'Pro 3'!B288</f>
        <v>0</v>
      </c>
    </row>
    <row r="63" spans="1:5" x14ac:dyDescent="0.2">
      <c r="A63" s="405">
        <f>Intro!$E$79</f>
        <v>0</v>
      </c>
      <c r="B63" s="646" t="s">
        <v>1006</v>
      </c>
      <c r="D63" s="405" t="s">
        <v>1033</v>
      </c>
      <c r="E63" s="648">
        <f>'Pro 3'!D324</f>
        <v>0</v>
      </c>
    </row>
    <row r="64" spans="1:5" x14ac:dyDescent="0.2">
      <c r="A64" s="405">
        <f>Intro!$E$79</f>
        <v>0</v>
      </c>
      <c r="B64" s="646" t="s">
        <v>1006</v>
      </c>
      <c r="D64" s="405" t="s">
        <v>1031</v>
      </c>
      <c r="E64" s="648">
        <f>'Pro 3'!D334</f>
        <v>0</v>
      </c>
    </row>
    <row r="65" spans="1:5" x14ac:dyDescent="0.2">
      <c r="A65" s="405">
        <f>Intro!$E$79</f>
        <v>0</v>
      </c>
      <c r="B65" s="646" t="s">
        <v>1006</v>
      </c>
      <c r="D65" s="405" t="s">
        <v>1032</v>
      </c>
      <c r="E65" s="648">
        <f>'Pro 3'!D344</f>
        <v>0</v>
      </c>
    </row>
    <row r="66" spans="1:5" x14ac:dyDescent="0.2">
      <c r="A66" s="405">
        <f>Intro!$E$79</f>
        <v>0</v>
      </c>
      <c r="B66" s="646" t="s">
        <v>1010</v>
      </c>
      <c r="C66" s="405" t="s">
        <v>1011</v>
      </c>
      <c r="D66" s="405">
        <f>'Pro 4'!B23</f>
        <v>0</v>
      </c>
      <c r="E66" s="648">
        <f>'Pro 4'!D19</f>
        <v>0</v>
      </c>
    </row>
    <row r="67" spans="1:5" x14ac:dyDescent="0.2">
      <c r="A67" s="405">
        <f>Intro!$E$79</f>
        <v>0</v>
      </c>
      <c r="B67" s="646" t="s">
        <v>1010</v>
      </c>
      <c r="C67" s="405" t="s">
        <v>90</v>
      </c>
      <c r="D67" s="405">
        <f>'Pro 4'!B33</f>
        <v>0</v>
      </c>
      <c r="E67" s="648">
        <f>'Pro 4'!D29</f>
        <v>0</v>
      </c>
    </row>
    <row r="68" spans="1:5" x14ac:dyDescent="0.2">
      <c r="A68" s="405">
        <f>Intro!$E$79</f>
        <v>0</v>
      </c>
      <c r="B68" s="646" t="s">
        <v>1010</v>
      </c>
      <c r="C68" s="405" t="s">
        <v>1012</v>
      </c>
      <c r="D68" s="405">
        <f>'Pro 4'!B43</f>
        <v>0</v>
      </c>
      <c r="E68" s="648">
        <f>'Pro 4'!D39</f>
        <v>0</v>
      </c>
    </row>
    <row r="69" spans="1:5" x14ac:dyDescent="0.2">
      <c r="A69" s="405">
        <f>Intro!$E$79</f>
        <v>0</v>
      </c>
      <c r="B69" s="646" t="s">
        <v>1010</v>
      </c>
      <c r="C69" s="405" t="s">
        <v>1013</v>
      </c>
      <c r="D69" s="405">
        <f>'Pro 4'!B53</f>
        <v>0</v>
      </c>
      <c r="E69" s="648">
        <f>'Pro 4'!D49</f>
        <v>0</v>
      </c>
    </row>
    <row r="70" spans="1:5" x14ac:dyDescent="0.2">
      <c r="A70" s="405">
        <f>Intro!$E$79</f>
        <v>0</v>
      </c>
      <c r="B70" s="646" t="s">
        <v>1010</v>
      </c>
      <c r="C70" s="405" t="s">
        <v>1014</v>
      </c>
      <c r="D70" s="405">
        <f>'Pro 4'!B63</f>
        <v>0</v>
      </c>
      <c r="E70" s="648">
        <f>'Pro 4'!D59</f>
        <v>0</v>
      </c>
    </row>
    <row r="71" spans="1:5" x14ac:dyDescent="0.2">
      <c r="A71" s="405">
        <f>Intro!$E$79</f>
        <v>0</v>
      </c>
      <c r="B71" s="646" t="s">
        <v>1010</v>
      </c>
      <c r="C71" s="405" t="s">
        <v>86</v>
      </c>
      <c r="D71" s="405">
        <f>'Pro 4'!B73</f>
        <v>0</v>
      </c>
      <c r="E71" s="648">
        <f>'Pro 4'!D69</f>
        <v>0</v>
      </c>
    </row>
    <row r="72" spans="1:5" x14ac:dyDescent="0.2">
      <c r="A72" s="405">
        <f>Intro!$E$79</f>
        <v>0</v>
      </c>
      <c r="B72" s="646" t="s">
        <v>1010</v>
      </c>
      <c r="C72" s="405" t="s">
        <v>1015</v>
      </c>
      <c r="D72" s="405">
        <f>'Pro 4'!B83</f>
        <v>0</v>
      </c>
      <c r="E72" s="648">
        <f>'Pro 4'!D79</f>
        <v>0</v>
      </c>
    </row>
    <row r="73" spans="1:5" x14ac:dyDescent="0.2">
      <c r="A73" s="405">
        <f>Intro!$E$79</f>
        <v>0</v>
      </c>
      <c r="B73" s="646" t="s">
        <v>1010</v>
      </c>
      <c r="C73" s="405" t="s">
        <v>1016</v>
      </c>
      <c r="D73" s="405">
        <f>'Pro 4'!B93</f>
        <v>0</v>
      </c>
      <c r="E73" s="648">
        <f>'Pro 4'!D89</f>
        <v>0</v>
      </c>
    </row>
    <row r="74" spans="1:5" x14ac:dyDescent="0.2">
      <c r="A74" s="405">
        <f>Intro!$E$79</f>
        <v>0</v>
      </c>
      <c r="B74" s="646" t="s">
        <v>1010</v>
      </c>
      <c r="C74" s="405" t="s">
        <v>321</v>
      </c>
      <c r="D74" s="405">
        <f>'Pro 4'!B103</f>
        <v>0</v>
      </c>
      <c r="E74" s="648">
        <f>'Pro 4'!D99</f>
        <v>0</v>
      </c>
    </row>
    <row r="75" spans="1:5" x14ac:dyDescent="0.2">
      <c r="A75" s="405">
        <f>Intro!$E$79</f>
        <v>0</v>
      </c>
      <c r="B75" s="646" t="s">
        <v>1010</v>
      </c>
      <c r="C75" s="405" t="s">
        <v>1017</v>
      </c>
      <c r="D75" s="405">
        <f>'Pro 4'!B113</f>
        <v>0</v>
      </c>
      <c r="E75" s="648">
        <f>'Pro 4'!D109</f>
        <v>0</v>
      </c>
    </row>
    <row r="76" spans="1:5" x14ac:dyDescent="0.2">
      <c r="A76" s="405">
        <f>Intro!$E$79</f>
        <v>0</v>
      </c>
      <c r="B76" s="646" t="s">
        <v>1010</v>
      </c>
      <c r="C76" s="405" t="s">
        <v>1018</v>
      </c>
      <c r="D76" s="405">
        <f>'Pro 4'!B123</f>
        <v>0</v>
      </c>
      <c r="E76" s="648">
        <f>'Pro 4'!D119</f>
        <v>0</v>
      </c>
    </row>
    <row r="77" spans="1:5" x14ac:dyDescent="0.2">
      <c r="A77" s="405">
        <f>Intro!$E$79</f>
        <v>0</v>
      </c>
      <c r="B77" s="646" t="s">
        <v>1019</v>
      </c>
      <c r="C77" s="405" t="s">
        <v>292</v>
      </c>
      <c r="D77" s="648">
        <f>AddPro!D13</f>
        <v>0</v>
      </c>
      <c r="E77" s="648">
        <f>AddPro!E13</f>
        <v>0</v>
      </c>
    </row>
    <row r="78" spans="1:5" x14ac:dyDescent="0.2">
      <c r="A78" s="405">
        <f>Intro!$E$79</f>
        <v>0</v>
      </c>
      <c r="B78" s="646" t="s">
        <v>1019</v>
      </c>
      <c r="C78" s="405" t="s">
        <v>294</v>
      </c>
      <c r="D78" s="648">
        <f>AddPro!D22</f>
        <v>0</v>
      </c>
      <c r="E78" s="648">
        <f>AddPro!E23</f>
        <v>0</v>
      </c>
    </row>
    <row r="79" spans="1:5" x14ac:dyDescent="0.2">
      <c r="A79" s="405">
        <f>Intro!$E$79</f>
        <v>0</v>
      </c>
      <c r="B79" s="646" t="s">
        <v>1019</v>
      </c>
      <c r="C79" s="405" t="s">
        <v>296</v>
      </c>
      <c r="D79" s="648">
        <f>AddPro!D31</f>
        <v>0</v>
      </c>
      <c r="E79" s="648">
        <f>AddPro!E31</f>
        <v>0</v>
      </c>
    </row>
    <row r="80" spans="1:5" x14ac:dyDescent="0.2">
      <c r="A80" s="405">
        <f>Intro!$E$79</f>
        <v>0</v>
      </c>
      <c r="B80" s="646" t="s">
        <v>1019</v>
      </c>
      <c r="C80" s="405" t="s">
        <v>298</v>
      </c>
      <c r="D80" s="648">
        <f>AddPro!D40</f>
        <v>0</v>
      </c>
      <c r="E80" s="648">
        <f>AddPro!E40</f>
        <v>0</v>
      </c>
    </row>
    <row r="81" spans="1:5" x14ac:dyDescent="0.2">
      <c r="A81" s="405">
        <f>Intro!$E$79</f>
        <v>0</v>
      </c>
      <c r="B81" s="646" t="s">
        <v>1019</v>
      </c>
      <c r="C81" s="405" t="s">
        <v>300</v>
      </c>
      <c r="D81" s="648">
        <f>AddPro!D49</f>
        <v>0</v>
      </c>
      <c r="E81" s="648">
        <f>AddPro!E49</f>
        <v>0</v>
      </c>
    </row>
    <row r="82" spans="1:5" x14ac:dyDescent="0.2">
      <c r="A82" s="405">
        <f>Intro!$E$79</f>
        <v>0</v>
      </c>
      <c r="B82" s="646" t="s">
        <v>1020</v>
      </c>
      <c r="D82" s="405" t="s">
        <v>1021</v>
      </c>
      <c r="E82" s="648">
        <f>Confirm!B19</f>
        <v>0</v>
      </c>
    </row>
  </sheetData>
  <sheetProtection algorithmName="SHA-512" hashValue="X9uGt/9dCpwM4A7BFi00lBsgz82GZZJJ286cy47B2rmC2YCzKV0nRLaVr1bS908rFxy7Q5hcjr04+qeFY2NpVg==" saltValue="japcWJD4whe4KfbkrN2yMA=="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2"/>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44.28515625" style="2" hidden="1" customWidth="1"/>
    <col min="16" max="16" width="51.7109375" style="2" hidden="1" customWidth="1"/>
    <col min="17" max="18" width="9.42578125" style="2" customWidth="1"/>
    <col min="19" max="19" width="9.28515625" style="2" customWidth="1"/>
    <col min="20" max="16384" width="9.28515625" style="2"/>
  </cols>
  <sheetData>
    <row r="1" spans="1:16" x14ac:dyDescent="0.25">
      <c r="O1" s="3" t="s">
        <v>169</v>
      </c>
      <c r="P1" s="3" t="s">
        <v>170</v>
      </c>
    </row>
    <row r="2" spans="1:16" x14ac:dyDescent="0.25">
      <c r="B2" s="27" t="s">
        <v>0</v>
      </c>
      <c r="C2" s="27"/>
      <c r="D2" s="27"/>
      <c r="O2" s="9" t="s">
        <v>0</v>
      </c>
      <c r="P2" s="9" t="s">
        <v>0</v>
      </c>
    </row>
    <row r="3" spans="1:16" x14ac:dyDescent="0.25">
      <c r="B3" s="28"/>
      <c r="C3" s="28"/>
      <c r="D3" s="28"/>
      <c r="O3" s="9"/>
      <c r="P3" s="9"/>
    </row>
    <row r="4" spans="1:16" s="9" customFormat="1" x14ac:dyDescent="0.25">
      <c r="A4" s="16"/>
      <c r="B4" s="715" t="str">
        <f>IF(Intro!$G$21="English",O4,P4)</f>
        <v>QUESTIONNAIRE À L’INTENTION DES PRODUCTEURS</v>
      </c>
      <c r="C4" s="715"/>
      <c r="D4" s="715"/>
      <c r="E4" s="715"/>
      <c r="F4" s="715"/>
      <c r="G4" s="715"/>
      <c r="H4" s="715"/>
      <c r="I4" s="715"/>
      <c r="J4" s="715"/>
      <c r="K4" s="715"/>
      <c r="L4" s="715"/>
      <c r="M4" s="21"/>
      <c r="N4" s="21"/>
      <c r="O4" s="17" t="s">
        <v>676</v>
      </c>
      <c r="P4" s="252" t="s">
        <v>677</v>
      </c>
    </row>
    <row r="5" spans="1:16" s="9" customFormat="1" x14ac:dyDescent="0.25">
      <c r="A5" s="16"/>
      <c r="B5" s="715" t="str">
        <f>Intro!B5</f>
        <v>NQ-2025-008</v>
      </c>
      <c r="C5" s="715"/>
      <c r="D5" s="715"/>
      <c r="E5" s="715"/>
      <c r="F5" s="715"/>
      <c r="G5" s="715"/>
      <c r="H5" s="715"/>
      <c r="I5" s="715"/>
      <c r="J5" s="715"/>
      <c r="K5" s="715"/>
      <c r="L5" s="715"/>
      <c r="M5" s="21"/>
      <c r="N5" s="21"/>
      <c r="O5" s="17"/>
      <c r="P5" s="17"/>
    </row>
    <row r="6" spans="1:16" s="18" customFormat="1" x14ac:dyDescent="0.25">
      <c r="A6" s="16"/>
      <c r="B6" s="715" t="str">
        <f>UPPER(IF(Intro!$G$21="English",Variables!B3,Variables!C3))</f>
        <v>VAISSELLE EN FIBRE MOULÉE THERMOFORMÉE</v>
      </c>
      <c r="C6" s="715"/>
      <c r="D6" s="715"/>
      <c r="E6" s="715"/>
      <c r="F6" s="715"/>
      <c r="G6" s="715"/>
      <c r="H6" s="715"/>
      <c r="I6" s="715"/>
      <c r="J6" s="715"/>
      <c r="K6" s="715"/>
      <c r="L6" s="715"/>
      <c r="M6" s="17"/>
      <c r="N6" s="17"/>
      <c r="O6" s="19"/>
      <c r="P6" s="19"/>
    </row>
    <row r="7" spans="1:16" s="10" customFormat="1" x14ac:dyDescent="0.25">
      <c r="A7" s="20"/>
      <c r="B7" s="29"/>
      <c r="C7" s="29"/>
      <c r="D7" s="29"/>
      <c r="E7" s="30"/>
      <c r="F7" s="30"/>
      <c r="G7" s="30"/>
      <c r="H7" s="30"/>
      <c r="I7" s="30"/>
      <c r="J7" s="30"/>
      <c r="K7" s="30"/>
      <c r="L7" s="30"/>
      <c r="O7" s="11"/>
      <c r="P7" s="11"/>
    </row>
    <row r="8" spans="1:16" s="9" customFormat="1" x14ac:dyDescent="0.25">
      <c r="A8" s="16"/>
      <c r="B8" s="703" t="str">
        <f>IF(Intro!$G$21="English",O8,P8)</f>
        <v>APERÇU DU QUESTIONNAIRE</v>
      </c>
      <c r="C8" s="704"/>
      <c r="D8" s="704" t="str">
        <f>UPPER(IF(Intro!$G$21="English",P8,Q8))</f>
        <v/>
      </c>
      <c r="E8" s="704" t="str">
        <f>UPPER(IF(Intro!$G$21="English",Q8,R8))</f>
        <v/>
      </c>
      <c r="F8" s="704" t="str">
        <f>UPPER(IF(Intro!$G$21="English",R8,S8))</f>
        <v/>
      </c>
      <c r="G8" s="704" t="str">
        <f>UPPER(IF(Intro!$G$21="English",S8,T8))</f>
        <v/>
      </c>
      <c r="H8" s="704" t="str">
        <f>UPPER(IF(Intro!$G$21="English",T8,U8))</f>
        <v/>
      </c>
      <c r="I8" s="704" t="str">
        <f>UPPER(IF(Intro!$G$21="English",U8,V8))</f>
        <v/>
      </c>
      <c r="J8" s="704" t="str">
        <f>UPPER(IF(Intro!$G$21="English",V8,W8))</f>
        <v/>
      </c>
      <c r="K8" s="704" t="str">
        <f>UPPER(IF(Intro!$G$21="English",W8,X8))</f>
        <v/>
      </c>
      <c r="L8" s="705" t="str">
        <f>UPPER(IF(Intro!$G$21="English",X8,Y8))</f>
        <v/>
      </c>
      <c r="M8" s="10"/>
      <c r="N8" s="21"/>
      <c r="O8" s="252" t="s">
        <v>678</v>
      </c>
      <c r="P8" s="252" t="s">
        <v>679</v>
      </c>
    </row>
    <row r="9" spans="1:16" s="12" customFormat="1" x14ac:dyDescent="0.25">
      <c r="A9" s="14"/>
      <c r="B9" s="31"/>
      <c r="C9" s="32"/>
      <c r="D9" s="32"/>
      <c r="E9" s="33"/>
      <c r="F9" s="33"/>
      <c r="G9" s="33"/>
      <c r="H9" s="33"/>
      <c r="I9" s="33"/>
      <c r="J9" s="33"/>
      <c r="K9" s="33"/>
      <c r="L9" s="34"/>
    </row>
    <row r="10" spans="1:16" s="157" customFormat="1" x14ac:dyDescent="0.25">
      <c r="A10" s="244"/>
      <c r="B10" s="672" t="str">
        <f>IF(Intro!$G$21="English",O10,P10)</f>
        <v xml:space="preserve">Le présent questionnaire est divisé en deux parties :
</v>
      </c>
      <c r="C10" s="673"/>
      <c r="D10" s="673"/>
      <c r="E10" s="673"/>
      <c r="F10" s="673"/>
      <c r="G10" s="673"/>
      <c r="H10" s="673"/>
      <c r="I10" s="673"/>
      <c r="J10" s="673"/>
      <c r="K10" s="673"/>
      <c r="L10" s="674"/>
      <c r="O10" s="157" t="s">
        <v>335</v>
      </c>
      <c r="P10" s="157" t="s">
        <v>336</v>
      </c>
    </row>
    <row r="11" spans="1:16" s="157" customFormat="1" x14ac:dyDescent="0.25">
      <c r="A11" s="244"/>
      <c r="B11" s="186"/>
      <c r="C11" s="187"/>
      <c r="D11" s="187"/>
      <c r="E11" s="187"/>
      <c r="F11" s="187"/>
      <c r="G11" s="187"/>
      <c r="H11" s="187"/>
      <c r="I11" s="187"/>
      <c r="J11" s="187"/>
      <c r="K11" s="187"/>
      <c r="L11" s="188"/>
    </row>
    <row r="12" spans="1:16" s="157" customFormat="1" x14ac:dyDescent="0.25">
      <c r="A12" s="244"/>
      <c r="B12" s="672"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673"/>
      <c r="D12" s="673"/>
      <c r="E12" s="673"/>
      <c r="F12" s="673"/>
      <c r="G12" s="673"/>
      <c r="H12" s="673"/>
      <c r="I12" s="673"/>
      <c r="J12" s="673"/>
      <c r="K12" s="673"/>
      <c r="L12" s="674"/>
      <c r="O12" s="157" t="s">
        <v>338</v>
      </c>
      <c r="P12" s="157" t="s">
        <v>339</v>
      </c>
    </row>
    <row r="13" spans="1:16" s="157" customFormat="1" x14ac:dyDescent="0.25">
      <c r="A13" s="244"/>
      <c r="B13" s="672"/>
      <c r="C13" s="673"/>
      <c r="D13" s="673"/>
      <c r="E13" s="673"/>
      <c r="F13" s="673"/>
      <c r="G13" s="673"/>
      <c r="H13" s="673"/>
      <c r="I13" s="673"/>
      <c r="J13" s="673"/>
      <c r="K13" s="673"/>
      <c r="L13" s="674"/>
    </row>
    <row r="14" spans="1:16" s="157" customFormat="1" x14ac:dyDescent="0.25">
      <c r="A14" s="244"/>
      <c r="B14" s="186"/>
      <c r="C14" s="187"/>
      <c r="D14" s="187"/>
      <c r="E14" s="187"/>
      <c r="F14" s="187"/>
      <c r="G14" s="187"/>
      <c r="H14" s="187"/>
      <c r="I14" s="187"/>
      <c r="J14" s="187"/>
      <c r="K14" s="187"/>
      <c r="L14" s="188"/>
    </row>
    <row r="15" spans="1:16" s="157" customFormat="1" x14ac:dyDescent="0.25">
      <c r="A15" s="244"/>
      <c r="B15" s="672"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673"/>
      <c r="D15" s="673"/>
      <c r="E15" s="673"/>
      <c r="F15" s="673"/>
      <c r="G15" s="673"/>
      <c r="H15" s="673"/>
      <c r="I15" s="673"/>
      <c r="J15" s="673"/>
      <c r="K15" s="673"/>
      <c r="L15" s="674"/>
      <c r="O15" s="157" t="s">
        <v>340</v>
      </c>
      <c r="P15" s="157" t="s">
        <v>341</v>
      </c>
    </row>
    <row r="16" spans="1:16" s="157" customFormat="1" x14ac:dyDescent="0.25">
      <c r="A16" s="244"/>
      <c r="B16" s="672"/>
      <c r="C16" s="673"/>
      <c r="D16" s="673"/>
      <c r="E16" s="673"/>
      <c r="F16" s="673"/>
      <c r="G16" s="673"/>
      <c r="H16" s="673"/>
      <c r="I16" s="673"/>
      <c r="J16" s="673"/>
      <c r="K16" s="673"/>
      <c r="L16" s="674"/>
    </row>
    <row r="17" spans="1:16" s="157" customFormat="1" x14ac:dyDescent="0.25">
      <c r="A17" s="244"/>
      <c r="B17" s="672"/>
      <c r="C17" s="673"/>
      <c r="D17" s="673"/>
      <c r="E17" s="673"/>
      <c r="F17" s="673"/>
      <c r="G17" s="673"/>
      <c r="H17" s="673"/>
      <c r="I17" s="673"/>
      <c r="J17" s="673"/>
      <c r="K17" s="673"/>
      <c r="L17" s="674"/>
    </row>
    <row r="18" spans="1:16" s="157" customFormat="1" x14ac:dyDescent="0.25">
      <c r="A18" s="244"/>
      <c r="B18" s="207"/>
      <c r="C18" s="208"/>
      <c r="D18" s="208"/>
      <c r="E18" s="208"/>
      <c r="F18" s="208"/>
      <c r="G18" s="208"/>
      <c r="H18" s="208"/>
      <c r="I18" s="208"/>
      <c r="J18" s="208"/>
      <c r="K18" s="208"/>
      <c r="L18" s="209"/>
    </row>
    <row r="19" spans="1:16" s="10" customFormat="1" x14ac:dyDescent="0.25">
      <c r="A19" s="20"/>
      <c r="B19" s="29"/>
      <c r="C19" s="29"/>
      <c r="D19" s="29"/>
      <c r="E19" s="30"/>
      <c r="F19" s="30"/>
      <c r="G19" s="30"/>
      <c r="H19" s="30"/>
      <c r="I19" s="30"/>
      <c r="J19" s="30"/>
      <c r="K19" s="30"/>
      <c r="L19" s="30"/>
      <c r="O19" s="11"/>
      <c r="P19" s="11"/>
    </row>
    <row r="20" spans="1:16" s="9" customFormat="1" x14ac:dyDescent="0.25">
      <c r="A20" s="16"/>
      <c r="B20" s="703" t="str">
        <f>UPPER(IF(Intro!$G$21="English",O20,P20))</f>
        <v>RENSEIGNEMENTS ADDITIONNELS SUR LE PRODUIT</v>
      </c>
      <c r="C20" s="704"/>
      <c r="D20" s="704" t="str">
        <f>UPPER(IF(Intro!$G$21="English",P20,Q20))</f>
        <v/>
      </c>
      <c r="E20" s="704" t="str">
        <f>UPPER(IF(Intro!$G$21="English",Q20,R20))</f>
        <v/>
      </c>
      <c r="F20" s="704" t="str">
        <f>UPPER(IF(Intro!$G$21="English",R20,S20))</f>
        <v/>
      </c>
      <c r="G20" s="704" t="str">
        <f>UPPER(IF(Intro!$G$21="English",S20,T20))</f>
        <v/>
      </c>
      <c r="H20" s="704" t="str">
        <f>UPPER(IF(Intro!$G$21="English",T20,U20))</f>
        <v/>
      </c>
      <c r="I20" s="704" t="str">
        <f>UPPER(IF(Intro!$G$21="English",U20,V20))</f>
        <v/>
      </c>
      <c r="J20" s="704" t="str">
        <f>UPPER(IF(Intro!$G$21="English",V20,W20))</f>
        <v/>
      </c>
      <c r="K20" s="704" t="str">
        <f>UPPER(IF(Intro!$G$21="English",W20,X20))</f>
        <v/>
      </c>
      <c r="L20" s="705" t="str">
        <f>UPPER(IF(Intro!$G$21="English",X20,Y20))</f>
        <v/>
      </c>
      <c r="M20" s="10"/>
      <c r="N20" s="21"/>
      <c r="O20" s="253" t="s">
        <v>680</v>
      </c>
      <c r="P20" s="253" t="s">
        <v>681</v>
      </c>
    </row>
    <row r="21" spans="1:16" s="12" customFormat="1" x14ac:dyDescent="0.25">
      <c r="A21" s="14"/>
      <c r="B21" s="31"/>
      <c r="C21" s="32"/>
      <c r="D21" s="32"/>
      <c r="E21" s="33"/>
      <c r="F21" s="33"/>
      <c r="G21" s="33"/>
      <c r="H21" s="33"/>
      <c r="I21" s="33"/>
      <c r="J21" s="33"/>
      <c r="K21" s="33"/>
      <c r="L21" s="34"/>
    </row>
    <row r="22" spans="1:16" s="157" customFormat="1" ht="15" x14ac:dyDescent="0.25">
      <c r="A22" s="237"/>
      <c r="B22" s="334" t="str">
        <f>IF(Intro!$G$21="English",O22,P22)</f>
        <v>Des renseignements supplémentaires sur le produit se trouvent sur le site Web de l’ASFC  :</v>
      </c>
      <c r="D22" s="13"/>
      <c r="E22" s="13"/>
      <c r="F22" s="13"/>
      <c r="G22" s="13"/>
      <c r="H22" s="13"/>
      <c r="I22" s="13"/>
      <c r="J22" s="13"/>
      <c r="K22" s="13"/>
      <c r="L22" s="333"/>
      <c r="O22" s="156" t="s">
        <v>758</v>
      </c>
      <c r="P22" t="s">
        <v>759</v>
      </c>
    </row>
    <row r="23" spans="1:16" s="157" customFormat="1" ht="15" x14ac:dyDescent="0.25">
      <c r="A23" s="237"/>
      <c r="B23" s="334"/>
      <c r="D23" s="13"/>
      <c r="E23" s="13"/>
      <c r="F23" s="13"/>
      <c r="G23" s="13"/>
      <c r="H23" s="13"/>
      <c r="I23" s="13"/>
      <c r="J23" s="13"/>
      <c r="K23" s="13"/>
      <c r="L23" s="333"/>
      <c r="O23" s="156"/>
      <c r="P23"/>
    </row>
    <row r="24" spans="1:16" s="157" customFormat="1" ht="15" x14ac:dyDescent="0.25">
      <c r="A24" s="339"/>
      <c r="B24" s="735" t="str">
        <f>IF(Intro!$G$21="English",
HYPERLINK("https://www.cbsa-asfc.gc.ca/sima-lmsi/i-e/tmft2025/tmft2025-in-eng.html#3-2"),
IF(Intro!$G$21="Français",
HYPERLINK("https://www.cbsa-asfc.gc.ca/sima-lmsi/i-e/tmft2025/tmft2025-in-fra.html#3-2"),
""
)
)</f>
        <v>https://www.cbsa-asfc.gc.ca/sima-lmsi/i-e/tmft2025/tmft2025-in-fra.html#3-2</v>
      </c>
      <c r="C24" s="736"/>
      <c r="D24" s="736"/>
      <c r="E24" s="736"/>
      <c r="F24" s="736"/>
      <c r="G24" s="736"/>
      <c r="H24" s="736"/>
      <c r="I24" s="736"/>
      <c r="J24" s="736"/>
      <c r="K24" s="736"/>
      <c r="L24" s="737"/>
      <c r="O24" s="156"/>
      <c r="P24" s="156"/>
    </row>
    <row r="25" spans="1:16" s="10" customFormat="1" x14ac:dyDescent="0.25">
      <c r="A25" s="20"/>
      <c r="B25" s="337"/>
      <c r="C25" s="29"/>
      <c r="D25" s="29"/>
      <c r="E25" s="30"/>
      <c r="F25" s="30"/>
      <c r="G25" s="30"/>
      <c r="H25" s="30"/>
      <c r="I25" s="30"/>
      <c r="J25" s="30"/>
      <c r="K25" s="30"/>
      <c r="L25" s="338"/>
      <c r="O25" s="11"/>
      <c r="P25" s="11"/>
    </row>
    <row r="26" spans="1:16" s="9" customFormat="1" x14ac:dyDescent="0.25">
      <c r="A26" s="16"/>
      <c r="B26" s="703" t="str">
        <f>IF(Intro!$G$21="English",O26,P26)</f>
        <v>TARIF DES DOUANES</v>
      </c>
      <c r="C26" s="704"/>
      <c r="D26" s="704" t="str">
        <f>UPPER(IF(Intro!$G$21="English",P26,Q26))</f>
        <v/>
      </c>
      <c r="E26" s="704" t="str">
        <f>UPPER(IF(Intro!$G$21="English",Q26,R26))</f>
        <v/>
      </c>
      <c r="F26" s="704" t="str">
        <f>UPPER(IF(Intro!$G$21="English",R26,S26))</f>
        <v/>
      </c>
      <c r="G26" s="704" t="str">
        <f>UPPER(IF(Intro!$G$21="English",S26,T26))</f>
        <v/>
      </c>
      <c r="H26" s="704" t="str">
        <f>UPPER(IF(Intro!$G$21="English",T26,U26))</f>
        <v/>
      </c>
      <c r="I26" s="704" t="str">
        <f>UPPER(IF(Intro!$G$21="English",U26,V26))</f>
        <v/>
      </c>
      <c r="J26" s="704" t="str">
        <f>UPPER(IF(Intro!$G$21="English",V26,W26))</f>
        <v/>
      </c>
      <c r="K26" s="704" t="str">
        <f>UPPER(IF(Intro!$G$21="English",W26,X26))</f>
        <v/>
      </c>
      <c r="L26" s="705" t="str">
        <f>UPPER(IF(Intro!$G$21="English",X26,Y26))</f>
        <v/>
      </c>
      <c r="M26" s="10"/>
      <c r="N26" s="21"/>
      <c r="O26" s="17" t="s">
        <v>132</v>
      </c>
      <c r="P26" s="17" t="s">
        <v>133</v>
      </c>
    </row>
    <row r="27" spans="1:16" s="12" customFormat="1" x14ac:dyDescent="0.25">
      <c r="A27" s="14"/>
      <c r="B27" s="31"/>
      <c r="C27" s="32"/>
      <c r="D27" s="32"/>
      <c r="E27" s="33"/>
      <c r="F27" s="33"/>
      <c r="G27" s="33"/>
      <c r="H27" s="33"/>
      <c r="I27" s="33"/>
      <c r="J27" s="33"/>
      <c r="K27" s="33"/>
      <c r="L27" s="34"/>
    </row>
    <row r="28" spans="1:16" s="157" customFormat="1" x14ac:dyDescent="0.25">
      <c r="A28" s="244"/>
      <c r="B28" s="694" t="str">
        <f>IF(Intro!$G$21="English",O28,P28)</f>
        <v>Les marchandises sont généralement classées dans le Tarif des douanes sous les numéros suivants du Système harmonisé de désignation et de codification des marchandises (SH) :</v>
      </c>
      <c r="C28" s="695"/>
      <c r="D28" s="695"/>
      <c r="E28" s="695"/>
      <c r="F28" s="695"/>
      <c r="G28" s="695"/>
      <c r="H28" s="695"/>
      <c r="I28" s="695"/>
      <c r="J28" s="695"/>
      <c r="K28" s="695"/>
      <c r="L28" s="696"/>
      <c r="O28" s="157" t="s">
        <v>949</v>
      </c>
      <c r="P28" s="157" t="s">
        <v>714</v>
      </c>
    </row>
    <row r="29" spans="1:16" s="157" customFormat="1" x14ac:dyDescent="0.25">
      <c r="A29" s="244"/>
      <c r="B29" s="694"/>
      <c r="C29" s="695"/>
      <c r="D29" s="695"/>
      <c r="E29" s="695"/>
      <c r="F29" s="695"/>
      <c r="G29" s="695"/>
      <c r="H29" s="695"/>
      <c r="I29" s="695"/>
      <c r="J29" s="695"/>
      <c r="K29" s="695"/>
      <c r="L29" s="696"/>
    </row>
    <row r="30" spans="1:16" s="157" customFormat="1" x14ac:dyDescent="0.25">
      <c r="A30" s="244" t="s">
        <v>589</v>
      </c>
      <c r="B30" s="193"/>
      <c r="C30" s="194"/>
      <c r="D30" s="194"/>
      <c r="E30" s="194"/>
      <c r="F30" s="194"/>
      <c r="G30" s="194"/>
      <c r="H30" s="194"/>
      <c r="I30" s="194"/>
      <c r="J30" s="194"/>
      <c r="K30" s="194"/>
      <c r="L30" s="195"/>
    </row>
    <row r="31" spans="1:16" s="167" customFormat="1" x14ac:dyDescent="0.25">
      <c r="A31" s="237"/>
      <c r="B31" s="724"/>
      <c r="C31" s="725"/>
      <c r="D31" s="726" t="str">
        <f>Variables!B21</f>
        <v>4823.61.00.00,  4823.69.00.90,  4823.70.00.00,  4823.90.00.90</v>
      </c>
      <c r="E31" s="727"/>
      <c r="F31" s="727"/>
      <c r="G31" s="727"/>
      <c r="H31" s="727"/>
      <c r="I31" s="727"/>
      <c r="J31" s="728"/>
      <c r="K31" s="166"/>
      <c r="L31" s="190"/>
      <c r="O31" s="156" t="str">
        <f>"Beginning "&amp;Variables!B19&amp;":"</f>
        <v>Beginning Date of change:</v>
      </c>
      <c r="P31" s="156" t="str">
        <f>"À partir du "&amp;Variables!C19&amp;" :"</f>
        <v>À partir du Date of change :</v>
      </c>
    </row>
    <row r="32" spans="1:16" s="167" customFormat="1" x14ac:dyDescent="0.25">
      <c r="A32" s="237"/>
      <c r="B32" s="724"/>
      <c r="C32" s="725"/>
      <c r="D32" s="729"/>
      <c r="E32" s="730"/>
      <c r="F32" s="730"/>
      <c r="G32" s="730"/>
      <c r="H32" s="730"/>
      <c r="I32" s="730"/>
      <c r="J32" s="731"/>
      <c r="K32" s="166"/>
      <c r="L32" s="266"/>
      <c r="O32" s="156"/>
      <c r="P32" s="156"/>
    </row>
    <row r="33" spans="1:16" s="167" customFormat="1" x14ac:dyDescent="0.25">
      <c r="A33" s="237"/>
      <c r="B33" s="724"/>
      <c r="C33" s="725"/>
      <c r="D33" s="732"/>
      <c r="E33" s="733"/>
      <c r="F33" s="733"/>
      <c r="G33" s="733"/>
      <c r="H33" s="733"/>
      <c r="I33" s="733"/>
      <c r="J33" s="734"/>
      <c r="K33" s="166"/>
      <c r="L33" s="266"/>
      <c r="O33" s="156"/>
      <c r="P33" s="156"/>
    </row>
    <row r="34" spans="1:16" s="157" customFormat="1" x14ac:dyDescent="0.25">
      <c r="A34" s="244"/>
      <c r="B34" s="207"/>
      <c r="C34" s="208"/>
      <c r="D34" s="208"/>
      <c r="E34" s="208"/>
      <c r="F34" s="208"/>
      <c r="G34" s="208"/>
      <c r="H34" s="208"/>
      <c r="I34" s="208"/>
      <c r="J34" s="208"/>
      <c r="K34" s="208"/>
      <c r="L34" s="209"/>
    </row>
    <row r="35" spans="1:16" s="10" customFormat="1" x14ac:dyDescent="0.25">
      <c r="A35" s="20"/>
      <c r="B35" s="29"/>
      <c r="C35" s="29"/>
      <c r="D35" s="29"/>
      <c r="E35" s="30"/>
      <c r="F35" s="30"/>
      <c r="G35" s="30"/>
      <c r="H35" s="30"/>
      <c r="I35" s="30"/>
      <c r="J35" s="30"/>
      <c r="K35" s="30"/>
      <c r="L35" s="30"/>
      <c r="O35" s="11"/>
      <c r="P35" s="11"/>
    </row>
    <row r="36" spans="1:16" s="256" customFormat="1" x14ac:dyDescent="0.25">
      <c r="A36" s="254"/>
      <c r="B36" s="738" t="str">
        <f>(IF(Intro!$G$21="English",O36,P36))</f>
        <v>GLOSSAIRE</v>
      </c>
      <c r="C36" s="739"/>
      <c r="D36" s="739" t="s">
        <v>708</v>
      </c>
      <c r="E36" s="739" t="s">
        <v>713</v>
      </c>
      <c r="F36" s="739" t="s">
        <v>713</v>
      </c>
      <c r="G36" s="739" t="s">
        <v>713</v>
      </c>
      <c r="H36" s="739" t="s">
        <v>713</v>
      </c>
      <c r="I36" s="739" t="s">
        <v>713</v>
      </c>
      <c r="J36" s="739" t="s">
        <v>713</v>
      </c>
      <c r="K36" s="739" t="s">
        <v>713</v>
      </c>
      <c r="L36" s="740" t="s">
        <v>713</v>
      </c>
      <c r="M36" s="179"/>
      <c r="N36" s="255"/>
      <c r="O36" s="251" t="s">
        <v>707</v>
      </c>
      <c r="P36" s="251" t="s">
        <v>708</v>
      </c>
    </row>
    <row r="37" spans="1:16" s="156" customFormat="1" x14ac:dyDescent="0.25">
      <c r="A37" s="46"/>
      <c r="B37" s="753" t="str">
        <f>IF(Intro!$G$21="English",O37,P37)</f>
        <v>Coût des marchandises fabriquées</v>
      </c>
      <c r="C37" s="754"/>
      <c r="D37" s="759" t="str">
        <f>IF(Intro!$G$21="English",O38,P38)</f>
        <v xml:space="preserve">Comprends les coûts directement liés à la production de marchandises, comme les coûts pour la main-d'œuvre, la matière première et les frais indirects de fabrication. Sont exclues les dépenses indirectes telles que les frais de distribution et les coûts liés à la force de vente. </v>
      </c>
      <c r="E37" s="760"/>
      <c r="F37" s="760"/>
      <c r="G37" s="760"/>
      <c r="H37" s="760"/>
      <c r="I37" s="760"/>
      <c r="J37" s="760"/>
      <c r="K37" s="760"/>
      <c r="L37" s="761"/>
      <c r="O37" s="156" t="s">
        <v>383</v>
      </c>
      <c r="P37" s="156" t="s">
        <v>263</v>
      </c>
    </row>
    <row r="38" spans="1:16" s="156" customFormat="1" x14ac:dyDescent="0.25">
      <c r="A38" s="46"/>
      <c r="B38" s="755"/>
      <c r="C38" s="756"/>
      <c r="D38" s="762"/>
      <c r="E38" s="713"/>
      <c r="F38" s="713"/>
      <c r="G38" s="713"/>
      <c r="H38" s="713"/>
      <c r="I38" s="713"/>
      <c r="J38" s="713"/>
      <c r="K38" s="713"/>
      <c r="L38" s="714"/>
      <c r="O38" s="156" t="s">
        <v>397</v>
      </c>
      <c r="P38" s="156" t="s">
        <v>429</v>
      </c>
    </row>
    <row r="39" spans="1:16" s="156" customFormat="1" x14ac:dyDescent="0.25">
      <c r="A39" s="46"/>
      <c r="B39" s="757"/>
      <c r="C39" s="758"/>
      <c r="D39" s="763"/>
      <c r="E39" s="764"/>
      <c r="F39" s="764"/>
      <c r="G39" s="764"/>
      <c r="H39" s="764"/>
      <c r="I39" s="764"/>
      <c r="J39" s="764"/>
      <c r="K39" s="764"/>
      <c r="L39" s="765"/>
    </row>
    <row r="40" spans="1:16" s="156" customFormat="1" x14ac:dyDescent="0.25">
      <c r="A40" s="46"/>
      <c r="B40" s="753" t="str">
        <f>IF(Intro!$G$21="English",O40,P40)</f>
        <v>Coût des marchandises vendues</v>
      </c>
      <c r="C40" s="754"/>
      <c r="D40" s="759" t="str">
        <f>IF(Intro!$G$21="English",O41,P41)</f>
        <v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v>
      </c>
      <c r="E40" s="760"/>
      <c r="F40" s="760"/>
      <c r="G40" s="760"/>
      <c r="H40" s="760"/>
      <c r="I40" s="760"/>
      <c r="J40" s="760"/>
      <c r="K40" s="760"/>
      <c r="L40" s="761"/>
      <c r="O40" s="156" t="s">
        <v>384</v>
      </c>
      <c r="P40" s="156" t="s">
        <v>50</v>
      </c>
    </row>
    <row r="41" spans="1:16" s="156" customFormat="1" x14ac:dyDescent="0.25">
      <c r="A41" s="46"/>
      <c r="B41" s="755"/>
      <c r="C41" s="756"/>
      <c r="D41" s="762"/>
      <c r="E41" s="713"/>
      <c r="F41" s="713"/>
      <c r="G41" s="713"/>
      <c r="H41" s="713"/>
      <c r="I41" s="713"/>
      <c r="J41" s="713"/>
      <c r="K41" s="713"/>
      <c r="L41" s="714"/>
      <c r="O41" s="156" t="s">
        <v>398</v>
      </c>
      <c r="P41" s="156" t="s">
        <v>400</v>
      </c>
    </row>
    <row r="42" spans="1:16" s="156" customFormat="1" x14ac:dyDescent="0.25">
      <c r="A42" s="46"/>
      <c r="B42" s="755"/>
      <c r="C42" s="756"/>
      <c r="D42" s="762"/>
      <c r="E42" s="713"/>
      <c r="F42" s="713"/>
      <c r="G42" s="713"/>
      <c r="H42" s="713"/>
      <c r="I42" s="713"/>
      <c r="J42" s="713"/>
      <c r="K42" s="713"/>
      <c r="L42" s="714"/>
    </row>
    <row r="43" spans="1:16" s="156" customFormat="1" x14ac:dyDescent="0.25">
      <c r="A43" s="46"/>
      <c r="B43" s="757"/>
      <c r="C43" s="758"/>
      <c r="D43" s="763"/>
      <c r="E43" s="764"/>
      <c r="F43" s="764"/>
      <c r="G43" s="764"/>
      <c r="H43" s="764"/>
      <c r="I43" s="764"/>
      <c r="J43" s="764"/>
      <c r="K43" s="764"/>
      <c r="L43" s="765"/>
    </row>
    <row r="44" spans="1:16" s="156" customFormat="1" x14ac:dyDescent="0.25">
      <c r="A44" s="46"/>
      <c r="B44" s="753" t="str">
        <f>IF(Intro!$G$21="English",O44,P44)</f>
        <v>L’emploi direct</v>
      </c>
      <c r="C44" s="754"/>
      <c r="D44" s="759" t="str">
        <f>IF(Intro!$G$21="English",O45,P45)</f>
        <v>Comprends les coûts de main-d’œuvre des employés dont les tâches peuvent être facilement rattachées (par observation) à la production des biens et sont correctement considérées comme des coûts de main-d’œuvre directe dans la déclaration de l’entreprise sur le coût des biens fabriqués. Les biens peuvent être produits pour la vente intérieure, pour la vente à l’exportation et pour une utilisation interne ou une transformation interne ultérieure.</v>
      </c>
      <c r="E44" s="760"/>
      <c r="F44" s="760"/>
      <c r="G44" s="760"/>
      <c r="H44" s="760"/>
      <c r="I44" s="760"/>
      <c r="J44" s="760"/>
      <c r="K44" s="760"/>
      <c r="L44" s="761"/>
      <c r="O44" s="156" t="s">
        <v>385</v>
      </c>
      <c r="P44" s="156" t="s">
        <v>392</v>
      </c>
    </row>
    <row r="45" spans="1:16" s="156" customFormat="1" x14ac:dyDescent="0.25">
      <c r="A45" s="46"/>
      <c r="B45" s="755"/>
      <c r="C45" s="756"/>
      <c r="D45" s="762"/>
      <c r="E45" s="713"/>
      <c r="F45" s="713"/>
      <c r="G45" s="713"/>
      <c r="H45" s="713"/>
      <c r="I45" s="713"/>
      <c r="J45" s="713"/>
      <c r="K45" s="713"/>
      <c r="L45" s="714"/>
      <c r="O45" s="156" t="s">
        <v>426</v>
      </c>
      <c r="P45" s="156" t="s">
        <v>431</v>
      </c>
    </row>
    <row r="46" spans="1:16" s="156" customFormat="1" x14ac:dyDescent="0.25">
      <c r="A46" s="46"/>
      <c r="B46" s="755"/>
      <c r="C46" s="756"/>
      <c r="D46" s="762"/>
      <c r="E46" s="713"/>
      <c r="F46" s="713"/>
      <c r="G46" s="713"/>
      <c r="H46" s="713"/>
      <c r="I46" s="713"/>
      <c r="J46" s="713"/>
      <c r="K46" s="713"/>
      <c r="L46" s="714"/>
    </row>
    <row r="47" spans="1:16" s="156" customFormat="1" x14ac:dyDescent="0.25">
      <c r="A47" s="46"/>
      <c r="B47" s="757"/>
      <c r="C47" s="758"/>
      <c r="D47" s="763"/>
      <c r="E47" s="764"/>
      <c r="F47" s="764"/>
      <c r="G47" s="764"/>
      <c r="H47" s="764"/>
      <c r="I47" s="764"/>
      <c r="J47" s="764"/>
      <c r="K47" s="764"/>
      <c r="L47" s="765"/>
    </row>
    <row r="48" spans="1:16" s="156" customFormat="1" x14ac:dyDescent="0.25">
      <c r="A48" s="46"/>
      <c r="B48" s="753" t="str">
        <f>IF(Intro!$G$21="English",O48,P48)</f>
        <v>Charges financières</v>
      </c>
      <c r="C48" s="754"/>
      <c r="D48" s="759" t="str">
        <f>IF(Intro!$G$21="English",O49,P49)</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48" s="760"/>
      <c r="F48" s="760"/>
      <c r="G48" s="760"/>
      <c r="H48" s="760"/>
      <c r="I48" s="760"/>
      <c r="J48" s="760"/>
      <c r="K48" s="760"/>
      <c r="L48" s="761"/>
      <c r="O48" s="156" t="s">
        <v>386</v>
      </c>
      <c r="P48" s="156" t="s">
        <v>56</v>
      </c>
    </row>
    <row r="49" spans="1:18" s="156" customFormat="1" x14ac:dyDescent="0.25">
      <c r="A49" s="46"/>
      <c r="B49" s="755"/>
      <c r="C49" s="756"/>
      <c r="D49" s="762"/>
      <c r="E49" s="713"/>
      <c r="F49" s="713"/>
      <c r="G49" s="713"/>
      <c r="H49" s="713"/>
      <c r="I49" s="713"/>
      <c r="J49" s="713"/>
      <c r="K49" s="713"/>
      <c r="L49" s="714"/>
      <c r="O49" s="156" t="s">
        <v>427</v>
      </c>
      <c r="P49" s="156" t="s">
        <v>401</v>
      </c>
    </row>
    <row r="50" spans="1:18" s="156" customFormat="1" x14ac:dyDescent="0.25">
      <c r="A50" s="46"/>
      <c r="B50" s="757"/>
      <c r="C50" s="758"/>
      <c r="D50" s="763"/>
      <c r="E50" s="764"/>
      <c r="F50" s="764"/>
      <c r="G50" s="764"/>
      <c r="H50" s="764"/>
      <c r="I50" s="764"/>
      <c r="J50" s="764"/>
      <c r="K50" s="764"/>
      <c r="L50" s="765"/>
    </row>
    <row r="51" spans="1:18" s="156" customFormat="1" x14ac:dyDescent="0.25">
      <c r="A51" s="46"/>
      <c r="B51" s="753" t="str">
        <f>IF(Intro!$G$21="English",O51,P51)</f>
        <v>Frais généraux, de vente et d'administration</v>
      </c>
      <c r="C51" s="754"/>
      <c r="D51" s="759" t="str">
        <f>IF(Intro!$G$21="English",O52,P52)</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51" s="760"/>
      <c r="F51" s="760"/>
      <c r="G51" s="760"/>
      <c r="H51" s="760"/>
      <c r="I51" s="760"/>
      <c r="J51" s="760"/>
      <c r="K51" s="760"/>
      <c r="L51" s="761"/>
      <c r="O51" s="156" t="s">
        <v>387</v>
      </c>
      <c r="P51" s="156" t="s">
        <v>393</v>
      </c>
    </row>
    <row r="52" spans="1:18" s="156" customFormat="1" x14ac:dyDescent="0.25">
      <c r="A52" s="46"/>
      <c r="B52" s="755"/>
      <c r="C52" s="756"/>
      <c r="D52" s="762"/>
      <c r="E52" s="713"/>
      <c r="F52" s="713"/>
      <c r="G52" s="713"/>
      <c r="H52" s="713"/>
      <c r="I52" s="713"/>
      <c r="J52" s="713"/>
      <c r="K52" s="713"/>
      <c r="L52" s="714"/>
      <c r="O52" s="156" t="s">
        <v>428</v>
      </c>
      <c r="P52" s="156" t="s">
        <v>402</v>
      </c>
    </row>
    <row r="53" spans="1:18" s="156" customFormat="1" x14ac:dyDescent="0.25">
      <c r="A53" s="46"/>
      <c r="B53" s="755"/>
      <c r="C53" s="756"/>
      <c r="D53" s="762"/>
      <c r="E53" s="713"/>
      <c r="F53" s="713"/>
      <c r="G53" s="713"/>
      <c r="H53" s="713"/>
      <c r="I53" s="713"/>
      <c r="J53" s="713"/>
      <c r="K53" s="713"/>
      <c r="L53" s="714"/>
    </row>
    <row r="54" spans="1:18" s="156" customFormat="1" x14ac:dyDescent="0.25">
      <c r="A54" s="46"/>
      <c r="B54" s="757"/>
      <c r="C54" s="758"/>
      <c r="D54" s="763"/>
      <c r="E54" s="764"/>
      <c r="F54" s="764"/>
      <c r="G54" s="764"/>
      <c r="H54" s="764"/>
      <c r="I54" s="764"/>
      <c r="J54" s="764"/>
      <c r="K54" s="764"/>
      <c r="L54" s="765"/>
    </row>
    <row r="55" spans="1:18" s="156" customFormat="1" x14ac:dyDescent="0.25">
      <c r="A55" s="46"/>
      <c r="B55" s="753" t="str">
        <f>IF(Intro!$G$21="English",O55,P55)</f>
        <v>L'emploi indirect</v>
      </c>
      <c r="C55" s="754"/>
      <c r="D55" s="759" t="str">
        <f>IF(Intro!$G$21="English",O56,P56)</f>
        <v>Comprends le personnel des usines, comme les surveillants, les chefs d’usine et les préposés au contrôle de la qualité, mais exclus le personnel de vente et d’administration.</v>
      </c>
      <c r="E55" s="760"/>
      <c r="F55" s="760"/>
      <c r="G55" s="760"/>
      <c r="H55" s="760"/>
      <c r="I55" s="760"/>
      <c r="J55" s="760"/>
      <c r="K55" s="760"/>
      <c r="L55" s="761"/>
      <c r="O55" s="156" t="s">
        <v>388</v>
      </c>
      <c r="P55" s="156" t="s">
        <v>394</v>
      </c>
    </row>
    <row r="56" spans="1:18" s="156" customFormat="1" x14ac:dyDescent="0.25">
      <c r="A56" s="46"/>
      <c r="B56" s="755"/>
      <c r="C56" s="756"/>
      <c r="D56" s="762"/>
      <c r="E56" s="713"/>
      <c r="F56" s="713"/>
      <c r="G56" s="713"/>
      <c r="H56" s="713"/>
      <c r="I56" s="713"/>
      <c r="J56" s="713"/>
      <c r="K56" s="713"/>
      <c r="L56" s="714"/>
      <c r="O56" s="156" t="s">
        <v>399</v>
      </c>
      <c r="P56" s="156" t="s">
        <v>430</v>
      </c>
    </row>
    <row r="57" spans="1:18" s="156" customFormat="1" x14ac:dyDescent="0.25">
      <c r="A57" s="46"/>
      <c r="B57" s="757"/>
      <c r="C57" s="758"/>
      <c r="D57" s="763"/>
      <c r="E57" s="764"/>
      <c r="F57" s="764"/>
      <c r="G57" s="764"/>
      <c r="H57" s="764"/>
      <c r="I57" s="764"/>
      <c r="J57" s="764"/>
      <c r="K57" s="764"/>
      <c r="L57" s="765"/>
    </row>
    <row r="58" spans="1:18" s="156" customFormat="1" x14ac:dyDescent="0.25">
      <c r="A58" s="46"/>
      <c r="B58" s="753" t="str">
        <f>IF(Intro!$G$21="English",O58,P58)</f>
        <v>Valeur de vente nette rendue</v>
      </c>
      <c r="C58" s="754"/>
      <c r="D58" s="759" t="str">
        <f>IF(Intro!$G$21="English",O59,P59)</f>
        <v>Valeur des ventes, nette de tout escompte (comptant, de quantité ou différé), allocation, taxe, remise et incitatif, qu’ils soient ou non inscrits sur la facture. Cette valeur inclut l’ensemble des frais de livraison (fret, manutention et assurance) supportés par votre entreprise à compter du point d’expédition directe au Canada et incorporés au prix de vente, ou une estimation desdits frais lorsque ceux-ci sont assumés par vos clients.</v>
      </c>
      <c r="E58" s="760"/>
      <c r="F58" s="760"/>
      <c r="G58" s="760"/>
      <c r="H58" s="760"/>
      <c r="I58" s="760"/>
      <c r="J58" s="760"/>
      <c r="K58" s="760"/>
      <c r="L58" s="761"/>
      <c r="O58" s="156" t="s">
        <v>389</v>
      </c>
      <c r="P58" s="156" t="s">
        <v>395</v>
      </c>
    </row>
    <row r="59" spans="1:18" s="156" customFormat="1" ht="15" x14ac:dyDescent="0.25">
      <c r="A59" s="46"/>
      <c r="B59" s="755"/>
      <c r="C59" s="756"/>
      <c r="D59" s="762"/>
      <c r="E59" s="713"/>
      <c r="F59" s="713"/>
      <c r="G59" s="713"/>
      <c r="H59" s="713"/>
      <c r="I59" s="713"/>
      <c r="J59" s="713"/>
      <c r="K59" s="713"/>
      <c r="L59" s="714"/>
      <c r="O59" s="156" t="s">
        <v>682</v>
      </c>
      <c r="P59" t="s">
        <v>761</v>
      </c>
      <c r="R59" s="168"/>
    </row>
    <row r="60" spans="1:18" s="156" customFormat="1" x14ac:dyDescent="0.25">
      <c r="A60" s="46"/>
      <c r="B60" s="755"/>
      <c r="C60" s="756"/>
      <c r="D60" s="762"/>
      <c r="E60" s="713"/>
      <c r="F60" s="713"/>
      <c r="G60" s="713"/>
      <c r="H60" s="713"/>
      <c r="I60" s="713"/>
      <c r="J60" s="713"/>
      <c r="K60" s="713"/>
      <c r="L60" s="714"/>
      <c r="R60" s="168"/>
    </row>
    <row r="61" spans="1:18" s="156" customFormat="1" x14ac:dyDescent="0.25">
      <c r="A61" s="46"/>
      <c r="B61" s="757"/>
      <c r="C61" s="758"/>
      <c r="D61" s="763"/>
      <c r="E61" s="764"/>
      <c r="F61" s="764"/>
      <c r="G61" s="764"/>
      <c r="H61" s="764"/>
      <c r="I61" s="764"/>
      <c r="J61" s="764"/>
      <c r="K61" s="764"/>
      <c r="L61" s="765"/>
      <c r="R61" s="168"/>
    </row>
    <row r="62" spans="1:18" s="156" customFormat="1" x14ac:dyDescent="0.25">
      <c r="A62" s="46"/>
      <c r="B62" s="753" t="str">
        <f>IF(Intro!$G$21="English",O62,P62)</f>
        <v>Valeur de vente nette</v>
      </c>
      <c r="C62" s="754"/>
      <c r="D62" s="759" t="str">
        <f>IF(Intro!$G$21="English",O63,P63)</f>
        <v>La valeur de vos ventes après déduction des retours, rabais pour marchandises endommagées ou manquantes et tous rabais, escomptes et incitatifs offerts.</v>
      </c>
      <c r="E62" s="760"/>
      <c r="F62" s="760"/>
      <c r="G62" s="760"/>
      <c r="H62" s="760"/>
      <c r="I62" s="760"/>
      <c r="J62" s="760"/>
      <c r="K62" s="760"/>
      <c r="L62" s="761"/>
      <c r="O62" s="156" t="s">
        <v>390</v>
      </c>
      <c r="P62" s="156" t="s">
        <v>73</v>
      </c>
    </row>
    <row r="63" spans="1:18" s="156" customFormat="1" x14ac:dyDescent="0.25">
      <c r="A63" s="46"/>
      <c r="B63" s="755"/>
      <c r="C63" s="756"/>
      <c r="D63" s="762"/>
      <c r="E63" s="713"/>
      <c r="F63" s="713"/>
      <c r="G63" s="713"/>
      <c r="H63" s="713"/>
      <c r="I63" s="713"/>
      <c r="J63" s="713"/>
      <c r="K63" s="713"/>
      <c r="L63" s="714"/>
      <c r="O63" s="156" t="s">
        <v>683</v>
      </c>
      <c r="P63" s="156" t="s">
        <v>684</v>
      </c>
    </row>
    <row r="64" spans="1:18" s="156" customFormat="1" x14ac:dyDescent="0.25">
      <c r="A64" s="46"/>
      <c r="B64" s="757"/>
      <c r="C64" s="758"/>
      <c r="D64" s="763"/>
      <c r="E64" s="764"/>
      <c r="F64" s="764"/>
      <c r="G64" s="764"/>
      <c r="H64" s="764"/>
      <c r="I64" s="764"/>
      <c r="J64" s="764"/>
      <c r="K64" s="764"/>
      <c r="L64" s="765"/>
    </row>
    <row r="65" spans="1:16" s="156" customFormat="1" x14ac:dyDescent="0.25">
      <c r="A65" s="46"/>
      <c r="B65" s="753" t="str">
        <f>IF(Intro!$G$21="English",O65,P65)</f>
        <v xml:space="preserve">La capacité pratique des usines
</v>
      </c>
      <c r="C65" s="754"/>
      <c r="D65" s="759" t="str">
        <f>IF(Intro!$G$21="English",O66,P66)</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65" s="760"/>
      <c r="F65" s="760"/>
      <c r="G65" s="760"/>
      <c r="H65" s="760"/>
      <c r="I65" s="760"/>
      <c r="J65" s="760"/>
      <c r="K65" s="760"/>
      <c r="L65" s="761"/>
      <c r="O65" s="156" t="s">
        <v>391</v>
      </c>
      <c r="P65" s="156" t="s">
        <v>396</v>
      </c>
    </row>
    <row r="66" spans="1:16" s="156" customFormat="1" x14ac:dyDescent="0.25">
      <c r="A66" s="46"/>
      <c r="B66" s="755"/>
      <c r="C66" s="756"/>
      <c r="D66" s="762"/>
      <c r="E66" s="766"/>
      <c r="F66" s="766"/>
      <c r="G66" s="766"/>
      <c r="H66" s="766"/>
      <c r="I66" s="766"/>
      <c r="J66" s="766"/>
      <c r="K66" s="766"/>
      <c r="L66" s="714"/>
      <c r="M66" s="168"/>
      <c r="O66" s="156" t="s">
        <v>640</v>
      </c>
      <c r="P66" s="156" t="s">
        <v>742</v>
      </c>
    </row>
    <row r="67" spans="1:16" s="156" customFormat="1" x14ac:dyDescent="0.25">
      <c r="A67" s="46"/>
      <c r="B67" s="755"/>
      <c r="C67" s="756"/>
      <c r="D67" s="762"/>
      <c r="E67" s="766"/>
      <c r="F67" s="766"/>
      <c r="G67" s="766"/>
      <c r="H67" s="766"/>
      <c r="I67" s="766"/>
      <c r="J67" s="766"/>
      <c r="K67" s="766"/>
      <c r="L67" s="714"/>
      <c r="M67" s="168"/>
    </row>
    <row r="68" spans="1:16" s="156" customFormat="1" x14ac:dyDescent="0.25">
      <c r="A68" s="46"/>
      <c r="B68" s="755"/>
      <c r="C68" s="756"/>
      <c r="D68" s="762"/>
      <c r="E68" s="766"/>
      <c r="F68" s="766"/>
      <c r="G68" s="766"/>
      <c r="H68" s="766"/>
      <c r="I68" s="766"/>
      <c r="J68" s="766"/>
      <c r="K68" s="766"/>
      <c r="L68" s="714"/>
      <c r="M68" s="168"/>
    </row>
    <row r="69" spans="1:16" s="156" customFormat="1" x14ac:dyDescent="0.25">
      <c r="A69" s="46"/>
      <c r="B69" s="741" t="str">
        <f>IF(Intro!$G$21="English",O69,P69)</f>
        <v>Entreprises affiliées</v>
      </c>
      <c r="C69" s="742"/>
      <c r="D69" s="747" t="str">
        <f>IF(Intro!$G$21="English",O70,P70)</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69" s="747"/>
      <c r="F69" s="747"/>
      <c r="G69" s="747"/>
      <c r="H69" s="747"/>
      <c r="I69" s="747"/>
      <c r="J69" s="747"/>
      <c r="K69" s="747"/>
      <c r="L69" s="748"/>
      <c r="O69" s="156" t="s">
        <v>642</v>
      </c>
      <c r="P69" s="156" t="s">
        <v>643</v>
      </c>
    </row>
    <row r="70" spans="1:16" s="156" customFormat="1" x14ac:dyDescent="0.25">
      <c r="A70" s="46"/>
      <c r="B70" s="743"/>
      <c r="C70" s="744"/>
      <c r="D70" s="749"/>
      <c r="E70" s="749"/>
      <c r="F70" s="749"/>
      <c r="G70" s="749"/>
      <c r="H70" s="749"/>
      <c r="I70" s="749"/>
      <c r="J70" s="749"/>
      <c r="K70" s="749"/>
      <c r="L70" s="750"/>
      <c r="O70" s="156" t="s">
        <v>638</v>
      </c>
      <c r="P70" s="156" t="s">
        <v>639</v>
      </c>
    </row>
    <row r="71" spans="1:16" s="156" customFormat="1" x14ac:dyDescent="0.25">
      <c r="A71" s="46"/>
      <c r="B71" s="743"/>
      <c r="C71" s="744"/>
      <c r="D71" s="749"/>
      <c r="E71" s="749"/>
      <c r="F71" s="749"/>
      <c r="G71" s="749"/>
      <c r="H71" s="749"/>
      <c r="I71" s="749"/>
      <c r="J71" s="749"/>
      <c r="K71" s="749"/>
      <c r="L71" s="750"/>
    </row>
    <row r="72" spans="1:16" s="156" customFormat="1" x14ac:dyDescent="0.25">
      <c r="A72" s="46"/>
      <c r="B72" s="745"/>
      <c r="C72" s="746"/>
      <c r="D72" s="751"/>
      <c r="E72" s="751"/>
      <c r="F72" s="751"/>
      <c r="G72" s="751"/>
      <c r="H72" s="751"/>
      <c r="I72" s="751"/>
      <c r="J72" s="751"/>
      <c r="K72" s="751"/>
      <c r="L72" s="752"/>
    </row>
  </sheetData>
  <sheetProtection algorithmName="SHA-512" hashValue="3YBR1O0GVymvxdDkXEd6u/d8/W8B0KeInah5HECOn+0BUVJZz/51Ff4/mOxgdu/VLvYFEKgyv7pabpJGxPdVqQ==" saltValue="XwZyqp7eoeMN4wU4lZcRAw==" spinCount="100000" sheet="1" objects="1" scenarios="1" selectLockedCells="1"/>
  <mergeCells count="34">
    <mergeCell ref="D51:L54"/>
    <mergeCell ref="B55:C57"/>
    <mergeCell ref="D55:L57"/>
    <mergeCell ref="B58:C61"/>
    <mergeCell ref="D58:L61"/>
    <mergeCell ref="B36:L36"/>
    <mergeCell ref="B69:C72"/>
    <mergeCell ref="D69:L72"/>
    <mergeCell ref="B37:C39"/>
    <mergeCell ref="D37:L39"/>
    <mergeCell ref="B40:C43"/>
    <mergeCell ref="D40:L43"/>
    <mergeCell ref="B44:C47"/>
    <mergeCell ref="D44:L47"/>
    <mergeCell ref="B48:C50"/>
    <mergeCell ref="D48:L50"/>
    <mergeCell ref="B62:C64"/>
    <mergeCell ref="D62:L64"/>
    <mergeCell ref="B65:C68"/>
    <mergeCell ref="D65:L68"/>
    <mergeCell ref="B51:C54"/>
    <mergeCell ref="B26:L26"/>
    <mergeCell ref="B28:L29"/>
    <mergeCell ref="B31:C33"/>
    <mergeCell ref="D31:J33"/>
    <mergeCell ref="B4:L4"/>
    <mergeCell ref="B5:L5"/>
    <mergeCell ref="B6:L6"/>
    <mergeCell ref="B8:L8"/>
    <mergeCell ref="B10:L10"/>
    <mergeCell ref="B20:L20"/>
    <mergeCell ref="B12:L13"/>
    <mergeCell ref="B15:L17"/>
    <mergeCell ref="B24:L24"/>
  </mergeCells>
  <printOptions horizontalCentered="1"/>
  <pageMargins left="0.25" right="0.25" top="0.75" bottom="0.75" header="0.3" footer="0.3"/>
  <pageSetup scale="75" firstPageNumber="4" fitToHeight="0" orientation="portrait" r:id="rId1"/>
  <headerFooter>
    <oddFooter>&amp;L&amp;A</oddFooter>
  </headerFooter>
  <rowBreaks count="1" manualBreakCount="1">
    <brk id="35" min="1" max="11" man="1"/>
  </rowBreaks>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61"/>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6" width="15.5703125" style="18" hidden="1" customWidth="1"/>
    <col min="17" max="17" width="9.28515625" style="2" customWidth="1"/>
    <col min="18" max="16384" width="9.28515625" style="2"/>
  </cols>
  <sheetData>
    <row r="1" spans="1:16" x14ac:dyDescent="0.25">
      <c r="O1" s="176" t="s">
        <v>169</v>
      </c>
      <c r="P1" s="176" t="s">
        <v>170</v>
      </c>
    </row>
    <row r="2" spans="1:16" x14ac:dyDescent="0.25">
      <c r="B2" s="27" t="s">
        <v>0</v>
      </c>
      <c r="C2" s="27"/>
      <c r="D2" s="27"/>
      <c r="O2" s="9"/>
      <c r="P2" s="9"/>
    </row>
    <row r="3" spans="1:16" x14ac:dyDescent="0.25">
      <c r="B3" s="28"/>
      <c r="C3" s="28"/>
      <c r="D3" s="28"/>
      <c r="O3" s="9"/>
      <c r="P3" s="9"/>
    </row>
    <row r="4" spans="1:16" s="9" customFormat="1" x14ac:dyDescent="0.25">
      <c r="A4" s="16"/>
      <c r="B4" s="715" t="str">
        <f>Info!B4</f>
        <v>QUESTIONNAIRE À L’INTENTION DES PRODUCTEURS</v>
      </c>
      <c r="C4" s="715"/>
      <c r="D4" s="715"/>
      <c r="E4" s="715"/>
      <c r="F4" s="715"/>
      <c r="G4" s="715"/>
      <c r="H4" s="715"/>
      <c r="I4" s="715"/>
      <c r="J4" s="715"/>
      <c r="K4" s="715"/>
      <c r="L4" s="715"/>
      <c r="M4" s="7"/>
      <c r="N4" s="7"/>
      <c r="O4" s="17"/>
      <c r="P4" s="17"/>
    </row>
    <row r="5" spans="1:16" s="9" customFormat="1" x14ac:dyDescent="0.25">
      <c r="A5" s="16"/>
      <c r="B5" s="715" t="str">
        <f>Info!B5</f>
        <v>NQ-2025-008</v>
      </c>
      <c r="C5" s="715"/>
      <c r="D5" s="715"/>
      <c r="E5" s="715"/>
      <c r="F5" s="715"/>
      <c r="G5" s="715"/>
      <c r="H5" s="715"/>
      <c r="I5" s="715"/>
      <c r="J5" s="715"/>
      <c r="K5" s="715"/>
      <c r="L5" s="715"/>
      <c r="M5" s="7"/>
      <c r="N5" s="7"/>
      <c r="O5" s="17"/>
      <c r="P5" s="17"/>
    </row>
    <row r="6" spans="1:16" s="18" customFormat="1" x14ac:dyDescent="0.25">
      <c r="A6" s="16"/>
      <c r="B6" s="715" t="str">
        <f>Info!B6</f>
        <v>VAISSELLE EN FIBRE MOULÉE THERMOFORMÉE</v>
      </c>
      <c r="C6" s="715"/>
      <c r="D6" s="715"/>
      <c r="E6" s="715"/>
      <c r="F6" s="715"/>
      <c r="G6" s="715"/>
      <c r="H6" s="715"/>
      <c r="I6" s="715"/>
      <c r="J6" s="715"/>
      <c r="K6" s="715"/>
      <c r="L6" s="715"/>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792" t="str">
        <f>IF(Intro!$G$21="English",O8,P8)</f>
        <v>Les questions suivantes font référence aux marchandises comme définies dans la description du produit de l'onglet Intro.</v>
      </c>
      <c r="C8" s="792"/>
      <c r="D8" s="792"/>
      <c r="E8" s="792"/>
      <c r="F8" s="792"/>
      <c r="G8" s="792"/>
      <c r="H8" s="792"/>
      <c r="I8" s="792"/>
      <c r="J8" s="792"/>
      <c r="K8" s="792"/>
      <c r="L8" s="792"/>
      <c r="M8" s="17"/>
      <c r="N8" s="17"/>
      <c r="O8" s="19" t="str">
        <f>"The following questions refer to the goods as defined in the product description on the Intro tab."</f>
        <v>The following questions refer to the goods as defined in the product description on the Intro tab.</v>
      </c>
      <c r="P8" s="19" t="str">
        <f>"Les questions suivantes font référence aux marchandises comme définies dans la description du produit de l'onglet Intro."</f>
        <v>Les questions suivantes font référence aux marchandises comme définies dans la description du produit de l'onglet Intro.</v>
      </c>
    </row>
    <row r="9" spans="1:16" s="18" customFormat="1" x14ac:dyDescent="0.25">
      <c r="A9" s="16"/>
      <c r="B9" s="792" t="str">
        <f>IF(Intro!$G$21="English",O9,P9)</f>
        <v>Des informations sur le produit et un glossaire de termes sont disponibles dans l'onglet Info.</v>
      </c>
      <c r="C9" s="792"/>
      <c r="D9" s="792"/>
      <c r="E9" s="792"/>
      <c r="F9" s="792"/>
      <c r="G9" s="792"/>
      <c r="H9" s="792"/>
      <c r="I9" s="792"/>
      <c r="J9" s="792"/>
      <c r="K9" s="792"/>
      <c r="L9" s="792"/>
      <c r="M9" s="17"/>
      <c r="N9" s="17"/>
      <c r="O9" s="19" t="s">
        <v>179</v>
      </c>
      <c r="P9" s="18" t="s">
        <v>180</v>
      </c>
    </row>
    <row r="10" spans="1:16" s="18" customFormat="1" x14ac:dyDescent="0.25">
      <c r="A10" s="16"/>
      <c r="B10" s="792" t="str">
        <f>IF(Intro!$G$21="English",O10,P10)</f>
        <v>Utilisez l'onglet AddPub si vous avez besoin de plus d'espace.</v>
      </c>
      <c r="C10" s="792"/>
      <c r="D10" s="792"/>
      <c r="E10" s="792"/>
      <c r="F10" s="792"/>
      <c r="G10" s="792"/>
      <c r="H10" s="792"/>
      <c r="I10" s="792"/>
      <c r="J10" s="792"/>
      <c r="K10" s="792"/>
      <c r="L10" s="792"/>
      <c r="M10" s="17"/>
      <c r="N10" s="17"/>
      <c r="O10" s="19" t="s">
        <v>302</v>
      </c>
      <c r="P10" s="19" t="s">
        <v>303</v>
      </c>
    </row>
    <row r="11" spans="1:16" s="10" customFormat="1" x14ac:dyDescent="0.25">
      <c r="A11" s="20"/>
      <c r="B11" s="29"/>
      <c r="C11" s="29"/>
      <c r="D11" s="29"/>
      <c r="E11" s="30"/>
      <c r="F11" s="30"/>
      <c r="G11" s="30"/>
      <c r="H11" s="30"/>
      <c r="I11" s="30"/>
      <c r="J11" s="30"/>
      <c r="K11" s="30"/>
      <c r="L11" s="30"/>
      <c r="O11" s="11"/>
      <c r="P11" s="11"/>
    </row>
    <row r="12" spans="1:16" x14ac:dyDescent="0.25">
      <c r="B12" s="678" t="str">
        <f>IF(Intro!$G$21="English",O12,P12)</f>
        <v>INFORMATIONS GÉNÉRALES SUR L'ENTREPRISE</v>
      </c>
      <c r="C12" s="679"/>
      <c r="D12" s="679"/>
      <c r="E12" s="679"/>
      <c r="F12" s="679"/>
      <c r="G12" s="679"/>
      <c r="H12" s="679"/>
      <c r="I12" s="679"/>
      <c r="J12" s="679"/>
      <c r="K12" s="679"/>
      <c r="L12" s="680"/>
      <c r="M12" s="182"/>
      <c r="O12" s="253" t="s">
        <v>685</v>
      </c>
      <c r="P12" s="253" t="s">
        <v>686</v>
      </c>
    </row>
    <row r="13" spans="1:16" x14ac:dyDescent="0.25">
      <c r="B13" s="770" t="s">
        <v>20</v>
      </c>
      <c r="C13" s="771"/>
      <c r="D13" s="771"/>
      <c r="E13" s="771"/>
      <c r="F13" s="771"/>
      <c r="G13" s="771"/>
      <c r="H13" s="771"/>
      <c r="I13" s="771"/>
      <c r="J13" s="771"/>
      <c r="K13" s="771"/>
      <c r="L13" s="772"/>
      <c r="M13" s="2"/>
    </row>
    <row r="14" spans="1:16" s="12" customFormat="1" x14ac:dyDescent="0.25">
      <c r="A14" s="14"/>
      <c r="B14" s="31"/>
      <c r="C14" s="32"/>
      <c r="D14" s="32"/>
      <c r="E14" s="33"/>
      <c r="F14" s="33"/>
      <c r="G14" s="33"/>
      <c r="H14" s="33"/>
      <c r="I14" s="33"/>
      <c r="J14" s="33"/>
      <c r="K14" s="33"/>
      <c r="L14" s="34"/>
      <c r="O14" s="10"/>
      <c r="P14" s="10"/>
    </row>
    <row r="15" spans="1:16" s="12" customFormat="1" x14ac:dyDescent="0.25">
      <c r="A15" s="14"/>
      <c r="B15" s="672" t="str">
        <f>IF(Intro!$G$21="English",O15,P15)</f>
        <v>Donnez un bref historique de votre entreprise, en insistant plus particulièrement sur les activités entourant les marchandises.</v>
      </c>
      <c r="C15" s="673"/>
      <c r="D15" s="673"/>
      <c r="E15" s="673"/>
      <c r="F15" s="673"/>
      <c r="G15" s="673"/>
      <c r="H15" s="673"/>
      <c r="I15" s="673"/>
      <c r="J15" s="673"/>
      <c r="K15" s="673"/>
      <c r="L15" s="674"/>
      <c r="O15" s="177" t="s">
        <v>138</v>
      </c>
      <c r="P15" s="10" t="s">
        <v>139</v>
      </c>
    </row>
    <row r="16" spans="1:16" s="182" customFormat="1" x14ac:dyDescent="0.25">
      <c r="A16" s="204"/>
      <c r="B16" s="220"/>
      <c r="C16" s="221"/>
      <c r="D16" s="221"/>
      <c r="E16" s="221"/>
      <c r="F16" s="221"/>
      <c r="G16" s="221"/>
      <c r="H16" s="221"/>
      <c r="I16" s="221"/>
      <c r="J16" s="221"/>
      <c r="K16" s="221"/>
      <c r="L16" s="206"/>
      <c r="O16" s="178"/>
      <c r="P16" s="178"/>
    </row>
    <row r="17" spans="1:16" s="3" customFormat="1" x14ac:dyDescent="0.25">
      <c r="A17" s="15"/>
      <c r="B17" s="773"/>
      <c r="C17" s="774"/>
      <c r="D17" s="774"/>
      <c r="E17" s="774"/>
      <c r="F17" s="774"/>
      <c r="G17" s="774"/>
      <c r="H17" s="774"/>
      <c r="I17" s="774"/>
      <c r="J17" s="774"/>
      <c r="K17" s="774"/>
      <c r="L17" s="775"/>
      <c r="M17" s="182"/>
      <c r="O17" s="176"/>
      <c r="P17" s="176"/>
    </row>
    <row r="18" spans="1:16" s="3" customFormat="1" x14ac:dyDescent="0.25">
      <c r="A18" s="15"/>
      <c r="B18" s="773"/>
      <c r="C18" s="774"/>
      <c r="D18" s="774"/>
      <c r="E18" s="774"/>
      <c r="F18" s="774"/>
      <c r="G18" s="774"/>
      <c r="H18" s="774"/>
      <c r="I18" s="774"/>
      <c r="J18" s="774"/>
      <c r="K18" s="774"/>
      <c r="L18" s="775"/>
      <c r="M18" s="182"/>
      <c r="O18" s="176"/>
      <c r="P18" s="176"/>
    </row>
    <row r="19" spans="1:16" s="3" customFormat="1" x14ac:dyDescent="0.25">
      <c r="A19" s="15"/>
      <c r="B19" s="773"/>
      <c r="C19" s="774"/>
      <c r="D19" s="774"/>
      <c r="E19" s="774"/>
      <c r="F19" s="774"/>
      <c r="G19" s="774"/>
      <c r="H19" s="774"/>
      <c r="I19" s="774"/>
      <c r="J19" s="774"/>
      <c r="K19" s="774"/>
      <c r="L19" s="775"/>
      <c r="M19" s="182"/>
      <c r="O19" s="176"/>
      <c r="P19" s="176"/>
    </row>
    <row r="20" spans="1:16" s="3" customFormat="1" x14ac:dyDescent="0.25">
      <c r="A20" s="15"/>
      <c r="B20" s="773"/>
      <c r="C20" s="774"/>
      <c r="D20" s="774"/>
      <c r="E20" s="774"/>
      <c r="F20" s="774"/>
      <c r="G20" s="774"/>
      <c r="H20" s="774"/>
      <c r="I20" s="774"/>
      <c r="J20" s="774"/>
      <c r="K20" s="774"/>
      <c r="L20" s="775"/>
      <c r="M20" s="182"/>
      <c r="O20" s="176"/>
      <c r="P20" s="176"/>
    </row>
    <row r="21" spans="1:16" s="3" customFormat="1" x14ac:dyDescent="0.25">
      <c r="A21" s="15"/>
      <c r="B21" s="773"/>
      <c r="C21" s="774"/>
      <c r="D21" s="774"/>
      <c r="E21" s="774"/>
      <c r="F21" s="774"/>
      <c r="G21" s="774"/>
      <c r="H21" s="774"/>
      <c r="I21" s="774"/>
      <c r="J21" s="774"/>
      <c r="K21" s="774"/>
      <c r="L21" s="775"/>
      <c r="M21" s="182"/>
      <c r="O21" s="176"/>
      <c r="P21" s="176"/>
    </row>
    <row r="22" spans="1:16" s="3" customFormat="1" x14ac:dyDescent="0.25">
      <c r="A22" s="15"/>
      <c r="B22" s="773"/>
      <c r="C22" s="774"/>
      <c r="D22" s="774"/>
      <c r="E22" s="774"/>
      <c r="F22" s="774"/>
      <c r="G22" s="774"/>
      <c r="H22" s="774"/>
      <c r="I22" s="774"/>
      <c r="J22" s="774"/>
      <c r="K22" s="774"/>
      <c r="L22" s="775"/>
      <c r="M22" s="182"/>
      <c r="O22" s="176"/>
      <c r="P22" s="176"/>
    </row>
    <row r="23" spans="1:16" s="3" customFormat="1" x14ac:dyDescent="0.25">
      <c r="A23" s="15"/>
      <c r="B23" s="773"/>
      <c r="C23" s="774"/>
      <c r="D23" s="774"/>
      <c r="E23" s="774"/>
      <c r="F23" s="774"/>
      <c r="G23" s="774"/>
      <c r="H23" s="774"/>
      <c r="I23" s="774"/>
      <c r="J23" s="774"/>
      <c r="K23" s="774"/>
      <c r="L23" s="775"/>
      <c r="M23" s="182"/>
      <c r="O23" s="176"/>
      <c r="P23" s="176"/>
    </row>
    <row r="24" spans="1:16" s="3" customFormat="1" x14ac:dyDescent="0.25">
      <c r="A24" s="15"/>
      <c r="B24" s="773"/>
      <c r="C24" s="774"/>
      <c r="D24" s="774"/>
      <c r="E24" s="774"/>
      <c r="F24" s="774"/>
      <c r="G24" s="774"/>
      <c r="H24" s="774"/>
      <c r="I24" s="774"/>
      <c r="J24" s="774"/>
      <c r="K24" s="774"/>
      <c r="L24" s="775"/>
      <c r="M24" s="182"/>
      <c r="O24" s="176"/>
      <c r="P24" s="176"/>
    </row>
    <row r="25" spans="1:16" s="182" customFormat="1" x14ac:dyDescent="0.25">
      <c r="A25" s="204"/>
      <c r="B25" s="223"/>
      <c r="C25" s="224"/>
      <c r="D25" s="224"/>
      <c r="E25" s="224"/>
      <c r="F25" s="224"/>
      <c r="G25" s="224"/>
      <c r="H25" s="224"/>
      <c r="I25" s="224"/>
      <c r="J25" s="224"/>
      <c r="K25" s="224"/>
      <c r="L25" s="222"/>
      <c r="O25" s="178"/>
      <c r="P25" s="178"/>
    </row>
    <row r="26" spans="1:16" s="3" customFormat="1" x14ac:dyDescent="0.25">
      <c r="A26" s="15"/>
      <c r="B26" s="767" t="s">
        <v>21</v>
      </c>
      <c r="C26" s="768"/>
      <c r="D26" s="768"/>
      <c r="E26" s="768"/>
      <c r="F26" s="768"/>
      <c r="G26" s="768"/>
      <c r="H26" s="768"/>
      <c r="I26" s="768"/>
      <c r="J26" s="768"/>
      <c r="K26" s="768"/>
      <c r="L26" s="769"/>
      <c r="M26" s="216"/>
      <c r="O26" s="176"/>
      <c r="P26" s="176"/>
    </row>
    <row r="27" spans="1:16" s="182" customFormat="1" x14ac:dyDescent="0.25">
      <c r="A27" s="204"/>
      <c r="B27" s="220"/>
      <c r="C27" s="221"/>
      <c r="D27" s="221"/>
      <c r="E27" s="221"/>
      <c r="F27" s="221"/>
      <c r="G27" s="221"/>
      <c r="H27" s="221"/>
      <c r="I27" s="221"/>
      <c r="J27" s="221"/>
      <c r="K27" s="221"/>
      <c r="L27" s="206"/>
      <c r="O27" s="178"/>
      <c r="P27" s="178"/>
    </row>
    <row r="28" spans="1:16" s="182" customFormat="1" x14ac:dyDescent="0.25">
      <c r="A28" s="204"/>
      <c r="B28" s="694" t="str">
        <f>IF(Intro!$G$21="English",O28,P28)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695"/>
      <c r="D28" s="695"/>
      <c r="E28" s="695"/>
      <c r="F28" s="695"/>
      <c r="G28" s="695"/>
      <c r="H28" s="695"/>
      <c r="I28" s="695"/>
      <c r="J28" s="695"/>
      <c r="K28" s="695"/>
      <c r="L28" s="696"/>
      <c r="O28" s="156" t="s">
        <v>644</v>
      </c>
      <c r="P28" s="156" t="s">
        <v>645</v>
      </c>
    </row>
    <row r="29" spans="1:16" s="182" customFormat="1" x14ac:dyDescent="0.25">
      <c r="A29" s="204"/>
      <c r="B29" s="694"/>
      <c r="C29" s="695"/>
      <c r="D29" s="695"/>
      <c r="E29" s="695"/>
      <c r="F29" s="695"/>
      <c r="G29" s="695"/>
      <c r="H29" s="695"/>
      <c r="I29" s="695"/>
      <c r="J29" s="695"/>
      <c r="K29" s="695"/>
      <c r="L29" s="696"/>
      <c r="O29" s="178" t="s">
        <v>22</v>
      </c>
      <c r="P29" s="178" t="s">
        <v>23</v>
      </c>
    </row>
    <row r="30" spans="1:16" s="182" customFormat="1" x14ac:dyDescent="0.25">
      <c r="A30" s="204"/>
      <c r="B30" s="694"/>
      <c r="C30" s="695"/>
      <c r="D30" s="695"/>
      <c r="E30" s="695"/>
      <c r="F30" s="695"/>
      <c r="G30" s="695"/>
      <c r="H30" s="695"/>
      <c r="I30" s="695"/>
      <c r="J30" s="695"/>
      <c r="K30" s="695"/>
      <c r="L30" s="696"/>
      <c r="O30" s="178" t="s">
        <v>7</v>
      </c>
      <c r="P30" s="178" t="s">
        <v>8</v>
      </c>
    </row>
    <row r="31" spans="1:16" s="182" customFormat="1" x14ac:dyDescent="0.25">
      <c r="A31" s="204"/>
      <c r="B31" s="220"/>
      <c r="C31" s="221"/>
      <c r="D31" s="221"/>
      <c r="E31" s="221"/>
      <c r="F31" s="221"/>
      <c r="G31" s="221"/>
      <c r="H31" s="221"/>
      <c r="I31" s="221"/>
      <c r="J31" s="221"/>
      <c r="K31" s="221"/>
      <c r="L31" s="206"/>
      <c r="O31" s="178" t="s">
        <v>432</v>
      </c>
      <c r="P31" s="178" t="s">
        <v>140</v>
      </c>
    </row>
    <row r="32" spans="1:16" s="12" customFormat="1" x14ac:dyDescent="0.25">
      <c r="A32" s="14"/>
      <c r="B32" s="185"/>
      <c r="C32" s="790" t="str">
        <f>IF(Intro!$G$21="English",O29,P29)</f>
        <v xml:space="preserve">Dénomination sociale de l'entreprise </v>
      </c>
      <c r="D32" s="790"/>
      <c r="E32" s="790" t="str">
        <f>IF(Intro!$G$21="English",O30,P30)</f>
        <v>Adresse de l'entreprise</v>
      </c>
      <c r="F32" s="790"/>
      <c r="G32" s="790" t="str">
        <f>IF(Intro!$G$21="English",O31,P31)</f>
        <v>Type l'affiliation</v>
      </c>
      <c r="H32" s="790"/>
      <c r="I32" s="790"/>
      <c r="J32" s="790" t="str">
        <f>IF(Intro!$G$21="English",O32,P32)</f>
        <v>Rôle dans l'industrie</v>
      </c>
      <c r="K32" s="790"/>
      <c r="L32" s="791"/>
      <c r="O32" s="178" t="s">
        <v>24</v>
      </c>
      <c r="P32" s="178" t="s">
        <v>25</v>
      </c>
    </row>
    <row r="33" spans="1:16" s="12" customFormat="1" x14ac:dyDescent="0.25">
      <c r="A33" s="14"/>
      <c r="B33" s="185"/>
      <c r="C33" s="790"/>
      <c r="D33" s="790"/>
      <c r="E33" s="790"/>
      <c r="F33" s="790"/>
      <c r="G33" s="790"/>
      <c r="H33" s="790"/>
      <c r="I33" s="790"/>
      <c r="J33" s="790"/>
      <c r="K33" s="790"/>
      <c r="L33" s="791"/>
    </row>
    <row r="34" spans="1:16" s="157" customFormat="1" x14ac:dyDescent="0.25">
      <c r="A34" s="200"/>
      <c r="B34" s="781">
        <v>1</v>
      </c>
      <c r="C34" s="652"/>
      <c r="D34" s="652"/>
      <c r="E34" s="652"/>
      <c r="F34" s="652"/>
      <c r="G34" s="652"/>
      <c r="H34" s="652"/>
      <c r="I34" s="652"/>
      <c r="J34" s="652"/>
      <c r="K34" s="652"/>
      <c r="L34" s="653"/>
      <c r="O34" s="178"/>
      <c r="P34" s="178"/>
    </row>
    <row r="35" spans="1:16" s="157" customFormat="1" x14ac:dyDescent="0.25">
      <c r="A35" s="200"/>
      <c r="B35" s="781"/>
      <c r="C35" s="652"/>
      <c r="D35" s="652"/>
      <c r="E35" s="652"/>
      <c r="F35" s="652"/>
      <c r="G35" s="652"/>
      <c r="H35" s="652"/>
      <c r="I35" s="652"/>
      <c r="J35" s="652"/>
      <c r="K35" s="652"/>
      <c r="L35" s="653"/>
    </row>
    <row r="36" spans="1:16" s="157" customFormat="1" x14ac:dyDescent="0.25">
      <c r="A36" s="200"/>
      <c r="B36" s="781">
        <v>2</v>
      </c>
      <c r="C36" s="652"/>
      <c r="D36" s="652"/>
      <c r="E36" s="652"/>
      <c r="F36" s="652"/>
      <c r="G36" s="652"/>
      <c r="H36" s="652"/>
      <c r="I36" s="652"/>
      <c r="J36" s="652"/>
      <c r="K36" s="652"/>
      <c r="L36" s="653"/>
    </row>
    <row r="37" spans="1:16" s="157" customFormat="1" x14ac:dyDescent="0.25">
      <c r="A37" s="200"/>
      <c r="B37" s="781"/>
      <c r="C37" s="652"/>
      <c r="D37" s="652"/>
      <c r="E37" s="652"/>
      <c r="F37" s="652"/>
      <c r="G37" s="652"/>
      <c r="H37" s="652"/>
      <c r="I37" s="652"/>
      <c r="J37" s="652"/>
      <c r="K37" s="652"/>
      <c r="L37" s="653"/>
    </row>
    <row r="38" spans="1:16" s="157" customFormat="1" x14ac:dyDescent="0.25">
      <c r="A38" s="200"/>
      <c r="B38" s="781">
        <v>3</v>
      </c>
      <c r="C38" s="652"/>
      <c r="D38" s="652"/>
      <c r="E38" s="652"/>
      <c r="F38" s="652"/>
      <c r="G38" s="652"/>
      <c r="H38" s="652"/>
      <c r="I38" s="652"/>
      <c r="J38" s="652"/>
      <c r="K38" s="652"/>
      <c r="L38" s="653"/>
    </row>
    <row r="39" spans="1:16" s="157" customFormat="1" x14ac:dyDescent="0.25">
      <c r="A39" s="200"/>
      <c r="B39" s="781"/>
      <c r="C39" s="652"/>
      <c r="D39" s="652"/>
      <c r="E39" s="652"/>
      <c r="F39" s="652"/>
      <c r="G39" s="652"/>
      <c r="H39" s="652"/>
      <c r="I39" s="652"/>
      <c r="J39" s="652"/>
      <c r="K39" s="652"/>
      <c r="L39" s="653"/>
      <c r="O39" s="178"/>
      <c r="P39" s="178"/>
    </row>
    <row r="40" spans="1:16" s="157" customFormat="1" x14ac:dyDescent="0.25">
      <c r="A40" s="200"/>
      <c r="B40" s="781">
        <v>4</v>
      </c>
      <c r="C40" s="652"/>
      <c r="D40" s="652"/>
      <c r="E40" s="652"/>
      <c r="F40" s="652"/>
      <c r="G40" s="652"/>
      <c r="H40" s="652"/>
      <c r="I40" s="652"/>
      <c r="J40" s="652"/>
      <c r="K40" s="652"/>
      <c r="L40" s="653"/>
    </row>
    <row r="41" spans="1:16" s="157" customFormat="1" x14ac:dyDescent="0.25">
      <c r="A41" s="200"/>
      <c r="B41" s="781"/>
      <c r="C41" s="652"/>
      <c r="D41" s="652"/>
      <c r="E41" s="652"/>
      <c r="F41" s="652"/>
      <c r="G41" s="652"/>
      <c r="H41" s="652"/>
      <c r="I41" s="652"/>
      <c r="J41" s="652"/>
      <c r="K41" s="652"/>
      <c r="L41" s="653"/>
    </row>
    <row r="42" spans="1:16" s="157" customFormat="1" x14ac:dyDescent="0.25">
      <c r="A42" s="200"/>
      <c r="B42" s="781">
        <v>5</v>
      </c>
      <c r="C42" s="652"/>
      <c r="D42" s="652"/>
      <c r="E42" s="652"/>
      <c r="F42" s="652"/>
      <c r="G42" s="652"/>
      <c r="H42" s="652"/>
      <c r="I42" s="652"/>
      <c r="J42" s="652"/>
      <c r="K42" s="652"/>
      <c r="L42" s="653"/>
      <c r="O42" s="178"/>
      <c r="P42" s="178"/>
    </row>
    <row r="43" spans="1:16" s="157" customFormat="1" x14ac:dyDescent="0.25">
      <c r="A43" s="200"/>
      <c r="B43" s="781"/>
      <c r="C43" s="652"/>
      <c r="D43" s="652"/>
      <c r="E43" s="652"/>
      <c r="F43" s="652"/>
      <c r="G43" s="652"/>
      <c r="H43" s="652"/>
      <c r="I43" s="652"/>
      <c r="J43" s="652"/>
      <c r="K43" s="652"/>
      <c r="L43" s="653"/>
      <c r="O43" s="178"/>
      <c r="P43" s="178"/>
    </row>
    <row r="44" spans="1:16" s="157" customFormat="1" x14ac:dyDescent="0.25">
      <c r="A44" s="200"/>
      <c r="B44" s="781">
        <v>6</v>
      </c>
      <c r="C44" s="652"/>
      <c r="D44" s="652"/>
      <c r="E44" s="652"/>
      <c r="F44" s="652"/>
      <c r="G44" s="652"/>
      <c r="H44" s="652"/>
      <c r="I44" s="652"/>
      <c r="J44" s="652"/>
      <c r="K44" s="652"/>
      <c r="L44" s="653"/>
      <c r="O44" s="178"/>
      <c r="P44" s="178"/>
    </row>
    <row r="45" spans="1:16" s="157" customFormat="1" x14ac:dyDescent="0.25">
      <c r="A45" s="200"/>
      <c r="B45" s="781"/>
      <c r="C45" s="652"/>
      <c r="D45" s="652"/>
      <c r="E45" s="652"/>
      <c r="F45" s="652"/>
      <c r="G45" s="652"/>
      <c r="H45" s="652"/>
      <c r="I45" s="652"/>
      <c r="J45" s="652"/>
      <c r="K45" s="652"/>
      <c r="L45" s="653"/>
      <c r="O45" s="178"/>
      <c r="P45" s="178"/>
    </row>
    <row r="46" spans="1:16" s="157" customFormat="1" x14ac:dyDescent="0.25">
      <c r="A46" s="200"/>
      <c r="B46" s="781">
        <v>7</v>
      </c>
      <c r="C46" s="652"/>
      <c r="D46" s="652"/>
      <c r="E46" s="652"/>
      <c r="F46" s="652"/>
      <c r="G46" s="652"/>
      <c r="H46" s="652"/>
      <c r="I46" s="652"/>
      <c r="J46" s="652"/>
      <c r="K46" s="652"/>
      <c r="L46" s="653"/>
      <c r="O46" s="178"/>
      <c r="P46" s="178"/>
    </row>
    <row r="47" spans="1:16" s="157" customFormat="1" x14ac:dyDescent="0.25">
      <c r="A47" s="200"/>
      <c r="B47" s="781"/>
      <c r="C47" s="652"/>
      <c r="D47" s="652"/>
      <c r="E47" s="652"/>
      <c r="F47" s="652"/>
      <c r="G47" s="652"/>
      <c r="H47" s="652"/>
      <c r="I47" s="652"/>
      <c r="J47" s="652"/>
      <c r="K47" s="652"/>
      <c r="L47" s="653"/>
      <c r="O47" s="178"/>
      <c r="P47" s="178"/>
    </row>
    <row r="48" spans="1:16" s="157" customFormat="1" x14ac:dyDescent="0.25">
      <c r="A48" s="200"/>
      <c r="B48" s="781">
        <v>8</v>
      </c>
      <c r="C48" s="652"/>
      <c r="D48" s="652"/>
      <c r="E48" s="652"/>
      <c r="F48" s="652"/>
      <c r="G48" s="652"/>
      <c r="H48" s="652"/>
      <c r="I48" s="652"/>
      <c r="J48" s="652"/>
      <c r="K48" s="652"/>
      <c r="L48" s="653"/>
      <c r="O48" s="178"/>
      <c r="P48" s="178"/>
    </row>
    <row r="49" spans="1:16" s="157" customFormat="1" x14ac:dyDescent="0.25">
      <c r="A49" s="200"/>
      <c r="B49" s="781"/>
      <c r="C49" s="652"/>
      <c r="D49" s="652"/>
      <c r="E49" s="652"/>
      <c r="F49" s="652"/>
      <c r="G49" s="652"/>
      <c r="H49" s="652"/>
      <c r="I49" s="652"/>
      <c r="J49" s="652"/>
      <c r="K49" s="652"/>
      <c r="L49" s="653"/>
      <c r="O49" s="178"/>
      <c r="P49" s="178"/>
    </row>
    <row r="50" spans="1:16" s="157" customFormat="1" x14ac:dyDescent="0.25">
      <c r="A50" s="200"/>
      <c r="B50" s="781">
        <v>9</v>
      </c>
      <c r="C50" s="652"/>
      <c r="D50" s="652"/>
      <c r="E50" s="652"/>
      <c r="F50" s="652"/>
      <c r="G50" s="652"/>
      <c r="H50" s="652"/>
      <c r="I50" s="652"/>
      <c r="J50" s="652"/>
      <c r="K50" s="652"/>
      <c r="L50" s="653"/>
      <c r="O50" s="178"/>
      <c r="P50" s="178"/>
    </row>
    <row r="51" spans="1:16" s="157" customFormat="1" x14ac:dyDescent="0.25">
      <c r="A51" s="200"/>
      <c r="B51" s="781"/>
      <c r="C51" s="652"/>
      <c r="D51" s="652"/>
      <c r="E51" s="652"/>
      <c r="F51" s="652"/>
      <c r="G51" s="652"/>
      <c r="H51" s="652"/>
      <c r="I51" s="652"/>
      <c r="J51" s="652"/>
      <c r="K51" s="652"/>
      <c r="L51" s="653"/>
      <c r="O51" s="178"/>
      <c r="P51" s="178"/>
    </row>
    <row r="52" spans="1:16" s="157" customFormat="1" x14ac:dyDescent="0.25">
      <c r="A52" s="200"/>
      <c r="B52" s="781">
        <v>10</v>
      </c>
      <c r="C52" s="652"/>
      <c r="D52" s="652"/>
      <c r="E52" s="652"/>
      <c r="F52" s="652"/>
      <c r="G52" s="652"/>
      <c r="H52" s="652"/>
      <c r="I52" s="652"/>
      <c r="J52" s="652"/>
      <c r="K52" s="652"/>
      <c r="L52" s="653"/>
      <c r="O52" s="178"/>
      <c r="P52" s="178"/>
    </row>
    <row r="53" spans="1:16" s="157" customFormat="1" x14ac:dyDescent="0.25">
      <c r="A53" s="200"/>
      <c r="B53" s="781"/>
      <c r="C53" s="652"/>
      <c r="D53" s="652"/>
      <c r="E53" s="652"/>
      <c r="F53" s="652"/>
      <c r="G53" s="652"/>
      <c r="H53" s="652"/>
      <c r="I53" s="652"/>
      <c r="J53" s="652"/>
      <c r="K53" s="652"/>
      <c r="L53" s="653"/>
      <c r="O53" s="178"/>
      <c r="P53" s="178"/>
    </row>
    <row r="54" spans="1:16" s="182" customFormat="1" x14ac:dyDescent="0.25">
      <c r="A54" s="204"/>
      <c r="B54" s="223"/>
      <c r="C54" s="224"/>
      <c r="D54" s="224"/>
      <c r="E54" s="224"/>
      <c r="F54" s="224"/>
      <c r="G54" s="224"/>
      <c r="H54" s="224"/>
      <c r="I54" s="224"/>
      <c r="J54" s="224"/>
      <c r="K54" s="224"/>
      <c r="L54" s="222"/>
      <c r="O54" s="178"/>
      <c r="P54" s="178"/>
    </row>
    <row r="55" spans="1:16" s="3" customFormat="1" x14ac:dyDescent="0.25">
      <c r="A55" s="15"/>
      <c r="B55" s="767" t="s">
        <v>26</v>
      </c>
      <c r="C55" s="768"/>
      <c r="D55" s="768"/>
      <c r="E55" s="768"/>
      <c r="F55" s="768"/>
      <c r="G55" s="768"/>
      <c r="H55" s="768"/>
      <c r="I55" s="768"/>
      <c r="J55" s="768"/>
      <c r="K55" s="768"/>
      <c r="L55" s="769"/>
      <c r="M55" s="216"/>
      <c r="O55" s="176"/>
      <c r="P55" s="176"/>
    </row>
    <row r="56" spans="1:16" s="182" customFormat="1" x14ac:dyDescent="0.25">
      <c r="A56" s="204"/>
      <c r="B56" s="220"/>
      <c r="C56" s="221"/>
      <c r="D56" s="221"/>
      <c r="E56" s="221"/>
      <c r="F56" s="221"/>
      <c r="G56" s="221"/>
      <c r="H56" s="221"/>
      <c r="I56" s="221"/>
      <c r="J56" s="221"/>
      <c r="K56" s="221"/>
      <c r="L56" s="206"/>
      <c r="O56" s="178"/>
      <c r="P56" s="178"/>
    </row>
    <row r="57" spans="1:16" s="182" customFormat="1" x14ac:dyDescent="0.25">
      <c r="A57" s="204"/>
      <c r="B57" s="672" t="str">
        <f>IF(Intro!$G$21="English",O57,P57)</f>
        <v>Fournissez des détails sur tout changement de propriétés majoritaire de votre entreprise depuis le 1er janvier 2022.</v>
      </c>
      <c r="C57" s="673"/>
      <c r="D57" s="673"/>
      <c r="E57" s="673"/>
      <c r="F57" s="673"/>
      <c r="G57" s="673"/>
      <c r="H57" s="673"/>
      <c r="I57" s="673"/>
      <c r="J57" s="673"/>
      <c r="K57" s="673"/>
      <c r="L57" s="674"/>
      <c r="O57" s="178" t="str">
        <f>"Provide details of any change of majority ownership of your firm since January 1, "&amp;Variables!B6&amp;"."</f>
        <v>Provide details of any change of majority ownership of your firm since January 1, 2022.</v>
      </c>
      <c r="P57" s="178" t="str">
        <f>"Fournissez des détails sur tout changement de propriétés majoritaire de votre entreprise depuis le 1er janvier "&amp;Variables!B6&amp;"."</f>
        <v>Fournissez des détails sur tout changement de propriétés majoritaire de votre entreprise depuis le 1er janvier 2022.</v>
      </c>
    </row>
    <row r="58" spans="1:16" s="182" customFormat="1" x14ac:dyDescent="0.25">
      <c r="A58" s="204"/>
      <c r="B58" s="220"/>
      <c r="C58" s="221"/>
      <c r="D58" s="221"/>
      <c r="E58" s="221"/>
      <c r="F58" s="221"/>
      <c r="G58" s="221"/>
      <c r="H58" s="221"/>
      <c r="I58" s="221"/>
      <c r="J58" s="221"/>
      <c r="K58" s="221"/>
      <c r="L58" s="206"/>
      <c r="O58" s="178"/>
      <c r="P58" s="178"/>
    </row>
    <row r="59" spans="1:16" s="3" customFormat="1" x14ac:dyDescent="0.25">
      <c r="A59" s="15"/>
      <c r="B59" s="773"/>
      <c r="C59" s="774"/>
      <c r="D59" s="774"/>
      <c r="E59" s="774"/>
      <c r="F59" s="774"/>
      <c r="G59" s="774"/>
      <c r="H59" s="774"/>
      <c r="I59" s="774"/>
      <c r="J59" s="774"/>
      <c r="K59" s="774"/>
      <c r="L59" s="775"/>
      <c r="M59" s="182"/>
      <c r="O59" s="176"/>
      <c r="P59" s="176"/>
    </row>
    <row r="60" spans="1:16" s="3" customFormat="1" x14ac:dyDescent="0.25">
      <c r="A60" s="15"/>
      <c r="B60" s="773"/>
      <c r="C60" s="774"/>
      <c r="D60" s="774"/>
      <c r="E60" s="774"/>
      <c r="F60" s="774"/>
      <c r="G60" s="774"/>
      <c r="H60" s="774"/>
      <c r="I60" s="774"/>
      <c r="J60" s="774"/>
      <c r="K60" s="774"/>
      <c r="L60" s="775"/>
      <c r="M60" s="182"/>
      <c r="O60" s="176"/>
      <c r="P60" s="176"/>
    </row>
    <row r="61" spans="1:16" s="3" customFormat="1" x14ac:dyDescent="0.25">
      <c r="A61" s="15"/>
      <c r="B61" s="773"/>
      <c r="C61" s="774"/>
      <c r="D61" s="774"/>
      <c r="E61" s="774"/>
      <c r="F61" s="774"/>
      <c r="G61" s="774"/>
      <c r="H61" s="774"/>
      <c r="I61" s="774"/>
      <c r="J61" s="774"/>
      <c r="K61" s="774"/>
      <c r="L61" s="775"/>
      <c r="M61" s="182"/>
      <c r="O61" s="176"/>
      <c r="P61" s="176"/>
    </row>
    <row r="62" spans="1:16" s="3" customFormat="1" x14ac:dyDescent="0.25">
      <c r="A62" s="15"/>
      <c r="B62" s="773"/>
      <c r="C62" s="774"/>
      <c r="D62" s="774"/>
      <c r="E62" s="774"/>
      <c r="F62" s="774"/>
      <c r="G62" s="774"/>
      <c r="H62" s="774"/>
      <c r="I62" s="774"/>
      <c r="J62" s="774"/>
      <c r="K62" s="774"/>
      <c r="L62" s="775"/>
      <c r="M62" s="182"/>
      <c r="O62" s="176"/>
      <c r="P62" s="17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182" customFormat="1" x14ac:dyDescent="0.25">
      <c r="A67" s="204"/>
      <c r="B67" s="223"/>
      <c r="C67" s="224"/>
      <c r="D67" s="224"/>
      <c r="E67" s="224"/>
      <c r="F67" s="224"/>
      <c r="G67" s="224"/>
      <c r="H67" s="224"/>
      <c r="I67" s="224"/>
      <c r="J67" s="224"/>
      <c r="K67" s="224"/>
      <c r="L67" s="222"/>
      <c r="O67" s="178"/>
      <c r="P67" s="178"/>
    </row>
    <row r="68" spans="1:16" s="3" customFormat="1" x14ac:dyDescent="0.25">
      <c r="A68" s="15"/>
      <c r="B68" s="767" t="s">
        <v>27</v>
      </c>
      <c r="C68" s="768"/>
      <c r="D68" s="768"/>
      <c r="E68" s="768"/>
      <c r="F68" s="768"/>
      <c r="G68" s="768"/>
      <c r="H68" s="768"/>
      <c r="I68" s="768"/>
      <c r="J68" s="768"/>
      <c r="K68" s="768"/>
      <c r="L68" s="769"/>
      <c r="M68" s="216"/>
      <c r="O68" s="176"/>
      <c r="P68" s="176"/>
    </row>
    <row r="69" spans="1:16" s="182" customFormat="1" x14ac:dyDescent="0.25">
      <c r="A69" s="204"/>
      <c r="B69" s="220"/>
      <c r="C69" s="221"/>
      <c r="D69" s="221"/>
      <c r="E69" s="221"/>
      <c r="F69" s="221"/>
      <c r="G69" s="221"/>
      <c r="H69" s="221"/>
      <c r="I69" s="221"/>
      <c r="J69" s="221"/>
      <c r="K69" s="221"/>
      <c r="L69" s="206"/>
      <c r="O69" s="178"/>
      <c r="P69" s="178"/>
    </row>
    <row r="70" spans="1:16" s="182" customFormat="1" x14ac:dyDescent="0.25">
      <c r="A70" s="204"/>
      <c r="B70" s="672" t="str">
        <f>IF(Intro!$G$21="English",O70,P70)</f>
        <v>Si votre entreprise est cotée en bourse, précisez quelle bourse et le symbole boursier.</v>
      </c>
      <c r="C70" s="673"/>
      <c r="D70" s="673"/>
      <c r="E70" s="673"/>
      <c r="F70" s="673"/>
      <c r="G70" s="673"/>
      <c r="H70" s="673"/>
      <c r="I70" s="673"/>
      <c r="J70" s="673"/>
      <c r="K70" s="673"/>
      <c r="L70" s="674"/>
      <c r="O70" s="178" t="s">
        <v>141</v>
      </c>
      <c r="P70" s="178" t="s">
        <v>142</v>
      </c>
    </row>
    <row r="71" spans="1:16" s="182" customFormat="1" x14ac:dyDescent="0.25">
      <c r="A71" s="204"/>
      <c r="B71" s="220"/>
      <c r="C71" s="221"/>
      <c r="D71" s="221"/>
      <c r="E71" s="221"/>
      <c r="F71" s="221"/>
      <c r="G71" s="221"/>
      <c r="H71" s="221"/>
      <c r="I71" s="221"/>
      <c r="J71" s="221"/>
      <c r="K71" s="221"/>
      <c r="L71" s="206"/>
      <c r="O71" s="178"/>
      <c r="P71" s="178"/>
    </row>
    <row r="72" spans="1:16" s="3" customFormat="1" x14ac:dyDescent="0.25">
      <c r="A72" s="15"/>
      <c r="B72" s="773"/>
      <c r="C72" s="774"/>
      <c r="D72" s="774"/>
      <c r="E72" s="774"/>
      <c r="F72" s="774"/>
      <c r="G72" s="774"/>
      <c r="H72" s="774"/>
      <c r="I72" s="774"/>
      <c r="J72" s="774"/>
      <c r="K72" s="774"/>
      <c r="L72" s="775"/>
      <c r="M72" s="182"/>
      <c r="O72" s="176"/>
      <c r="P72" s="176"/>
    </row>
    <row r="73" spans="1:16" s="3" customFormat="1" x14ac:dyDescent="0.25">
      <c r="A73" s="15"/>
      <c r="B73" s="773"/>
      <c r="C73" s="774"/>
      <c r="D73" s="774"/>
      <c r="E73" s="774"/>
      <c r="F73" s="774"/>
      <c r="G73" s="774"/>
      <c r="H73" s="774"/>
      <c r="I73" s="774"/>
      <c r="J73" s="774"/>
      <c r="K73" s="774"/>
      <c r="L73" s="775"/>
      <c r="M73" s="182"/>
      <c r="O73" s="176"/>
      <c r="P73" s="176"/>
    </row>
    <row r="74" spans="1:16" s="3" customFormat="1" x14ac:dyDescent="0.25">
      <c r="A74" s="15"/>
      <c r="B74" s="773"/>
      <c r="C74" s="774"/>
      <c r="D74" s="774"/>
      <c r="E74" s="774"/>
      <c r="F74" s="774"/>
      <c r="G74" s="774"/>
      <c r="H74" s="774"/>
      <c r="I74" s="774"/>
      <c r="J74" s="774"/>
      <c r="K74" s="774"/>
      <c r="L74" s="775"/>
      <c r="M74" s="182"/>
      <c r="O74" s="176"/>
      <c r="P74" s="176"/>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182" customFormat="1" x14ac:dyDescent="0.25">
      <c r="A80" s="204"/>
      <c r="B80" s="223"/>
      <c r="C80" s="224"/>
      <c r="D80" s="224"/>
      <c r="E80" s="224"/>
      <c r="F80" s="224"/>
      <c r="G80" s="224"/>
      <c r="H80" s="224"/>
      <c r="I80" s="224"/>
      <c r="J80" s="224"/>
      <c r="K80" s="224"/>
      <c r="L80" s="222"/>
      <c r="O80" s="178"/>
      <c r="P80" s="178"/>
    </row>
    <row r="81" spans="1:16" s="3" customFormat="1" x14ac:dyDescent="0.25">
      <c r="A81" s="15"/>
      <c r="B81" s="767" t="s">
        <v>28</v>
      </c>
      <c r="C81" s="768"/>
      <c r="D81" s="768"/>
      <c r="E81" s="768"/>
      <c r="F81" s="768"/>
      <c r="G81" s="768"/>
      <c r="H81" s="768"/>
      <c r="I81" s="768"/>
      <c r="J81" s="768"/>
      <c r="K81" s="768"/>
      <c r="L81" s="769"/>
      <c r="M81" s="216"/>
      <c r="O81" s="176"/>
      <c r="P81" s="176"/>
    </row>
    <row r="82" spans="1:16" s="182" customFormat="1" x14ac:dyDescent="0.25">
      <c r="A82" s="204"/>
      <c r="B82" s="220"/>
      <c r="C82" s="221"/>
      <c r="D82" s="221"/>
      <c r="E82" s="221"/>
      <c r="F82" s="221"/>
      <c r="G82" s="221"/>
      <c r="H82" s="221"/>
      <c r="I82" s="221"/>
      <c r="J82" s="221"/>
      <c r="K82" s="221"/>
      <c r="L82" s="206"/>
      <c r="O82" s="178"/>
      <c r="P82" s="178"/>
    </row>
    <row r="83" spans="1:16" s="182" customFormat="1" x14ac:dyDescent="0.25">
      <c r="A83" s="204"/>
      <c r="B83" s="778" t="str">
        <f>IF(Intro!$G$21="English",O83,P83)</f>
        <v>Si votre entreprise publie un rapport annuel à l’intention de ses actionnaires, fournissez une copie électronique pour chaque année depuis le 1er janvier 2022.</v>
      </c>
      <c r="C83" s="779"/>
      <c r="D83" s="779"/>
      <c r="E83" s="779"/>
      <c r="F83" s="779"/>
      <c r="G83" s="779"/>
      <c r="H83" s="779"/>
      <c r="I83" s="779"/>
      <c r="J83" s="779"/>
      <c r="K83" s="779"/>
      <c r="L83" s="780"/>
      <c r="O83" s="178" t="str">
        <f>"If your firm publishes an annual report to shareholders, provide an electronic copy for each year since January 1, "&amp;Variables!B6&amp;"."</f>
        <v>If your firm publishes an annual report to shareholders, provide an electronic copy for each year since January 1, 2022.</v>
      </c>
      <c r="P83" s="17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2022.</v>
      </c>
    </row>
    <row r="84" spans="1:16" s="182" customFormat="1" x14ac:dyDescent="0.25">
      <c r="A84" s="204"/>
      <c r="B84" s="223"/>
      <c r="C84" s="224"/>
      <c r="D84" s="224"/>
      <c r="E84" s="224"/>
      <c r="F84" s="224"/>
      <c r="G84" s="224"/>
      <c r="H84" s="224"/>
      <c r="I84" s="224"/>
      <c r="J84" s="224"/>
      <c r="K84" s="224"/>
      <c r="L84" s="222"/>
      <c r="O84" s="178"/>
      <c r="P84" s="178"/>
    </row>
    <row r="85" spans="1:16" s="10" customFormat="1" x14ac:dyDescent="0.25">
      <c r="A85" s="20"/>
      <c r="B85" s="29"/>
      <c r="C85" s="29"/>
      <c r="D85" s="29"/>
      <c r="E85" s="30"/>
      <c r="F85" s="30"/>
      <c r="G85" s="30"/>
      <c r="H85" s="30"/>
      <c r="I85" s="30"/>
      <c r="J85" s="30"/>
      <c r="K85" s="30"/>
      <c r="L85" s="30"/>
      <c r="O85" s="11"/>
      <c r="P85" s="11"/>
    </row>
    <row r="86" spans="1:16" x14ac:dyDescent="0.25">
      <c r="B86" s="35" t="str">
        <f>IF(Intro!$G$21="English",O86,P86)</f>
        <v>PRODUCTION ET CAPACITÉ</v>
      </c>
      <c r="C86" s="36"/>
      <c r="D86" s="36"/>
      <c r="E86" s="36"/>
      <c r="F86" s="36"/>
      <c r="G86" s="36"/>
      <c r="H86" s="36"/>
      <c r="I86" s="36"/>
      <c r="J86" s="36"/>
      <c r="K86" s="36"/>
      <c r="L86" s="37"/>
      <c r="M86" s="182"/>
      <c r="O86" s="257" t="s">
        <v>687</v>
      </c>
      <c r="P86" s="257" t="s">
        <v>688</v>
      </c>
    </row>
    <row r="87" spans="1:16" s="3" customFormat="1" x14ac:dyDescent="0.25">
      <c r="A87" s="15"/>
      <c r="B87" s="767" t="s">
        <v>30</v>
      </c>
      <c r="C87" s="768"/>
      <c r="D87" s="768"/>
      <c r="E87" s="768"/>
      <c r="F87" s="768"/>
      <c r="G87" s="768"/>
      <c r="H87" s="768"/>
      <c r="I87" s="768"/>
      <c r="J87" s="768"/>
      <c r="K87" s="768"/>
      <c r="L87" s="769"/>
      <c r="M87" s="216"/>
      <c r="O87" s="176"/>
      <c r="P87" s="176"/>
    </row>
    <row r="88" spans="1:16" s="182" customFormat="1" x14ac:dyDescent="0.25">
      <c r="A88" s="204"/>
      <c r="B88" s="220"/>
      <c r="C88" s="221"/>
      <c r="D88" s="221"/>
      <c r="E88" s="221"/>
      <c r="F88" s="221"/>
      <c r="G88" s="221"/>
      <c r="H88" s="221"/>
      <c r="I88" s="221"/>
      <c r="J88" s="221"/>
      <c r="K88" s="221"/>
      <c r="L88" s="206"/>
      <c r="O88" s="178"/>
      <c r="P88" s="178"/>
    </row>
    <row r="89" spans="1:16" s="182" customFormat="1" x14ac:dyDescent="0.25">
      <c r="A89" s="204"/>
      <c r="B89" s="778" t="str">
        <f>IF(Intro!$G$21="English",O89,P89)</f>
        <v>Fournissez les renseignements suivants associés à la production canadienne de tous les produits de votre entreprise.</v>
      </c>
      <c r="C89" s="779"/>
      <c r="D89" s="779"/>
      <c r="E89" s="779"/>
      <c r="F89" s="779"/>
      <c r="G89" s="779"/>
      <c r="H89" s="779"/>
      <c r="I89" s="779"/>
      <c r="J89" s="779"/>
      <c r="K89" s="779"/>
      <c r="L89" s="780"/>
      <c r="O89" s="178" t="s">
        <v>304</v>
      </c>
      <c r="P89" s="178" t="s">
        <v>305</v>
      </c>
    </row>
    <row r="90" spans="1:16" s="182" customFormat="1" x14ac:dyDescent="0.25">
      <c r="A90" s="204"/>
      <c r="B90" s="220"/>
      <c r="C90" s="221"/>
      <c r="D90" s="221"/>
      <c r="E90" s="221"/>
      <c r="F90" s="221"/>
      <c r="G90" s="221"/>
      <c r="H90" s="221"/>
      <c r="I90" s="221"/>
      <c r="J90" s="221"/>
      <c r="K90" s="221"/>
      <c r="L90" s="206"/>
    </row>
    <row r="91" spans="1:16" s="12" customFormat="1" x14ac:dyDescent="0.25">
      <c r="A91" s="14"/>
      <c r="B91" s="305"/>
      <c r="C91" s="788" t="str">
        <f>IF(Intro!$G$21="English",O91,P91)</f>
        <v xml:space="preserve">Dénomination sociale et emplacement de l'établissement </v>
      </c>
      <c r="D91" s="788"/>
      <c r="E91" s="788" t="str">
        <f>IF(Intro!$G$21="English",O92,P92)</f>
        <v>Expliquez si cette installation produit les marchandises destinées au marché canadien et/ou au marché d'exportation</v>
      </c>
      <c r="F91" s="788"/>
      <c r="G91" s="788" t="str">
        <f>IF(Intro!$G$21="English",O93,P93)</f>
        <v>Description et spécifications des marchandises produites</v>
      </c>
      <c r="H91" s="788"/>
      <c r="I91" s="788" t="str">
        <f>IF(Intro!$G$21="English",O94,P94)</f>
        <v>Si cette installation ne produit pas les marchandises, quelles modifications seraient nécessaires pour pouvoir produire les marchandises?</v>
      </c>
      <c r="J91" s="788"/>
      <c r="K91" s="788" t="str">
        <f>IF(Intro!$G$21="English",O95,P95)</f>
        <v>Quels autres produits, le cas échéant, pourraient être fabriqués à l’aide du même outillage utilisé pour la production des marchandises?</v>
      </c>
      <c r="L91" s="789"/>
      <c r="O91" s="178" t="s">
        <v>29</v>
      </c>
      <c r="P91" s="178" t="s">
        <v>143</v>
      </c>
    </row>
    <row r="92" spans="1:16" s="12" customFormat="1" x14ac:dyDescent="0.25">
      <c r="A92" s="14"/>
      <c r="B92" s="305"/>
      <c r="C92" s="788"/>
      <c r="D92" s="788"/>
      <c r="E92" s="788"/>
      <c r="F92" s="788"/>
      <c r="G92" s="788"/>
      <c r="H92" s="788"/>
      <c r="I92" s="788"/>
      <c r="J92" s="788"/>
      <c r="K92" s="788"/>
      <c r="L92" s="789"/>
      <c r="O92" s="178" t="s">
        <v>625</v>
      </c>
      <c r="P92" s="178" t="s">
        <v>624</v>
      </c>
    </row>
    <row r="93" spans="1:16" s="12" customFormat="1" x14ac:dyDescent="0.25">
      <c r="A93" s="14"/>
      <c r="B93" s="305"/>
      <c r="C93" s="788"/>
      <c r="D93" s="788"/>
      <c r="E93" s="788"/>
      <c r="F93" s="788"/>
      <c r="G93" s="788"/>
      <c r="H93" s="788"/>
      <c r="I93" s="788"/>
      <c r="J93" s="788"/>
      <c r="K93" s="788"/>
      <c r="L93" s="789"/>
      <c r="O93" s="178" t="s">
        <v>357</v>
      </c>
      <c r="P93" s="178" t="s">
        <v>358</v>
      </c>
    </row>
    <row r="94" spans="1:16" s="12" customFormat="1" x14ac:dyDescent="0.25">
      <c r="A94" s="14"/>
      <c r="B94" s="305"/>
      <c r="C94" s="788"/>
      <c r="D94" s="788"/>
      <c r="E94" s="788"/>
      <c r="F94" s="788"/>
      <c r="G94" s="788"/>
      <c r="H94" s="788"/>
      <c r="I94" s="788"/>
      <c r="J94" s="788"/>
      <c r="K94" s="788"/>
      <c r="L94" s="789"/>
      <c r="O94" s="178" t="s">
        <v>360</v>
      </c>
      <c r="P94" s="178" t="s">
        <v>359</v>
      </c>
    </row>
    <row r="95" spans="1:16" s="12" customFormat="1" x14ac:dyDescent="0.25">
      <c r="A95" s="14"/>
      <c r="B95" s="305"/>
      <c r="C95" s="788"/>
      <c r="D95" s="788"/>
      <c r="E95" s="788"/>
      <c r="F95" s="788"/>
      <c r="G95" s="788"/>
      <c r="H95" s="788"/>
      <c r="I95" s="788"/>
      <c r="J95" s="788"/>
      <c r="K95" s="788"/>
      <c r="L95" s="789"/>
      <c r="O95" s="178" t="s">
        <v>32</v>
      </c>
      <c r="P95" s="178" t="s">
        <v>115</v>
      </c>
    </row>
    <row r="96" spans="1:16" s="12" customFormat="1" x14ac:dyDescent="0.25">
      <c r="A96" s="14"/>
      <c r="B96" s="305"/>
      <c r="C96" s="788"/>
      <c r="D96" s="788"/>
      <c r="E96" s="788"/>
      <c r="F96" s="788"/>
      <c r="G96" s="788"/>
      <c r="H96" s="788"/>
      <c r="I96" s="788"/>
      <c r="J96" s="788"/>
      <c r="K96" s="788"/>
      <c r="L96" s="789"/>
      <c r="O96" s="178"/>
      <c r="P96" s="178"/>
    </row>
    <row r="97" spans="1:12" s="157" customFormat="1" x14ac:dyDescent="0.25">
      <c r="A97" s="200"/>
      <c r="B97" s="781">
        <v>1</v>
      </c>
      <c r="C97" s="782"/>
      <c r="D97" s="652"/>
      <c r="E97" s="652"/>
      <c r="F97" s="652"/>
      <c r="G97" s="652"/>
      <c r="H97" s="652"/>
      <c r="I97" s="652"/>
      <c r="J97" s="652"/>
      <c r="K97" s="652"/>
      <c r="L97" s="653"/>
    </row>
    <row r="98" spans="1:12" s="157" customFormat="1" x14ac:dyDescent="0.25">
      <c r="A98" s="200"/>
      <c r="B98" s="781"/>
      <c r="C98" s="782"/>
      <c r="D98" s="652"/>
      <c r="E98" s="652"/>
      <c r="F98" s="652"/>
      <c r="G98" s="652"/>
      <c r="H98" s="652"/>
      <c r="I98" s="652"/>
      <c r="J98" s="652"/>
      <c r="K98" s="652"/>
      <c r="L98" s="653"/>
    </row>
    <row r="99" spans="1:12" s="157" customFormat="1" x14ac:dyDescent="0.25">
      <c r="A99" s="200"/>
      <c r="B99" s="781"/>
      <c r="C99" s="782"/>
      <c r="D99" s="652"/>
      <c r="E99" s="652"/>
      <c r="F99" s="652"/>
      <c r="G99" s="652"/>
      <c r="H99" s="652"/>
      <c r="I99" s="652"/>
      <c r="J99" s="652"/>
      <c r="K99" s="652"/>
      <c r="L99" s="653"/>
    </row>
    <row r="100" spans="1:12" s="157" customFormat="1" x14ac:dyDescent="0.25">
      <c r="A100" s="200"/>
      <c r="B100" s="781"/>
      <c r="C100" s="782"/>
      <c r="D100" s="652"/>
      <c r="E100" s="652"/>
      <c r="F100" s="652"/>
      <c r="G100" s="652"/>
      <c r="H100" s="652"/>
      <c r="I100" s="652"/>
      <c r="J100" s="652"/>
      <c r="K100" s="652"/>
      <c r="L100" s="653"/>
    </row>
    <row r="101" spans="1:12" s="157" customFormat="1" x14ac:dyDescent="0.25">
      <c r="A101" s="200"/>
      <c r="B101" s="781"/>
      <c r="C101" s="782"/>
      <c r="D101" s="652"/>
      <c r="E101" s="652"/>
      <c r="F101" s="652"/>
      <c r="G101" s="652"/>
      <c r="H101" s="652"/>
      <c r="I101" s="652"/>
      <c r="J101" s="652"/>
      <c r="K101" s="652"/>
      <c r="L101" s="653"/>
    </row>
    <row r="102" spans="1:12" s="157" customFormat="1" x14ac:dyDescent="0.25">
      <c r="A102" s="200"/>
      <c r="B102" s="781"/>
      <c r="C102" s="782"/>
      <c r="D102" s="652"/>
      <c r="E102" s="652"/>
      <c r="F102" s="652"/>
      <c r="G102" s="652"/>
      <c r="H102" s="652"/>
      <c r="I102" s="652"/>
      <c r="J102" s="652"/>
      <c r="K102" s="652"/>
      <c r="L102" s="653"/>
    </row>
    <row r="103" spans="1:12" s="157" customFormat="1" x14ac:dyDescent="0.25">
      <c r="A103" s="200"/>
      <c r="B103" s="781"/>
      <c r="C103" s="782"/>
      <c r="D103" s="652"/>
      <c r="E103" s="652"/>
      <c r="F103" s="652"/>
      <c r="G103" s="652"/>
      <c r="H103" s="652"/>
      <c r="I103" s="652"/>
      <c r="J103" s="652"/>
      <c r="K103" s="652"/>
      <c r="L103" s="653"/>
    </row>
    <row r="104" spans="1:12" s="157" customFormat="1" x14ac:dyDescent="0.25">
      <c r="A104" s="200"/>
      <c r="B104" s="781"/>
      <c r="C104" s="782"/>
      <c r="D104" s="652"/>
      <c r="E104" s="652"/>
      <c r="F104" s="652"/>
      <c r="G104" s="652"/>
      <c r="H104" s="652"/>
      <c r="I104" s="652"/>
      <c r="J104" s="652"/>
      <c r="K104" s="652"/>
      <c r="L104" s="653"/>
    </row>
    <row r="105" spans="1:12" s="157" customFormat="1" x14ac:dyDescent="0.25">
      <c r="A105" s="200"/>
      <c r="B105" s="781"/>
      <c r="C105" s="782"/>
      <c r="D105" s="652"/>
      <c r="E105" s="652"/>
      <c r="F105" s="652"/>
      <c r="G105" s="652"/>
      <c r="H105" s="652"/>
      <c r="I105" s="652"/>
      <c r="J105" s="652"/>
      <c r="K105" s="652"/>
      <c r="L105" s="653"/>
    </row>
    <row r="106" spans="1:12" s="157" customFormat="1" x14ac:dyDescent="0.25">
      <c r="A106" s="200"/>
      <c r="B106" s="781"/>
      <c r="C106" s="782"/>
      <c r="D106" s="652"/>
      <c r="E106" s="652"/>
      <c r="F106" s="652"/>
      <c r="G106" s="652"/>
      <c r="H106" s="652"/>
      <c r="I106" s="652"/>
      <c r="J106" s="652"/>
      <c r="K106" s="652"/>
      <c r="L106" s="653"/>
    </row>
    <row r="107" spans="1:12" s="157" customFormat="1" x14ac:dyDescent="0.25">
      <c r="A107" s="200"/>
      <c r="B107" s="781">
        <v>2</v>
      </c>
      <c r="C107" s="782"/>
      <c r="D107" s="652"/>
      <c r="E107" s="652"/>
      <c r="F107" s="652"/>
      <c r="G107" s="652"/>
      <c r="H107" s="652"/>
      <c r="I107" s="652"/>
      <c r="J107" s="652"/>
      <c r="K107" s="652"/>
      <c r="L107" s="653"/>
    </row>
    <row r="108" spans="1:12" s="157" customFormat="1" x14ac:dyDescent="0.25">
      <c r="A108" s="200"/>
      <c r="B108" s="781"/>
      <c r="C108" s="782"/>
      <c r="D108" s="652"/>
      <c r="E108" s="652"/>
      <c r="F108" s="652"/>
      <c r="G108" s="652"/>
      <c r="H108" s="652"/>
      <c r="I108" s="652"/>
      <c r="J108" s="652"/>
      <c r="K108" s="652"/>
      <c r="L108" s="653"/>
    </row>
    <row r="109" spans="1:12" s="157" customFormat="1" x14ac:dyDescent="0.25">
      <c r="A109" s="200"/>
      <c r="B109" s="781"/>
      <c r="C109" s="782"/>
      <c r="D109" s="652"/>
      <c r="E109" s="652"/>
      <c r="F109" s="652"/>
      <c r="G109" s="652"/>
      <c r="H109" s="652"/>
      <c r="I109" s="652"/>
      <c r="J109" s="652"/>
      <c r="K109" s="652"/>
      <c r="L109" s="653"/>
    </row>
    <row r="110" spans="1:12" s="157" customFormat="1" x14ac:dyDescent="0.25">
      <c r="A110" s="200"/>
      <c r="B110" s="781"/>
      <c r="C110" s="782"/>
      <c r="D110" s="652"/>
      <c r="E110" s="652"/>
      <c r="F110" s="652"/>
      <c r="G110" s="652"/>
      <c r="H110" s="652"/>
      <c r="I110" s="652"/>
      <c r="J110" s="652"/>
      <c r="K110" s="652"/>
      <c r="L110" s="653"/>
    </row>
    <row r="111" spans="1:12" s="157" customFormat="1" x14ac:dyDescent="0.25">
      <c r="A111" s="200"/>
      <c r="B111" s="781"/>
      <c r="C111" s="782"/>
      <c r="D111" s="652"/>
      <c r="E111" s="652"/>
      <c r="F111" s="652"/>
      <c r="G111" s="652"/>
      <c r="H111" s="652"/>
      <c r="I111" s="652"/>
      <c r="J111" s="652"/>
      <c r="K111" s="652"/>
      <c r="L111" s="653"/>
    </row>
    <row r="112" spans="1:12" s="157" customFormat="1" x14ac:dyDescent="0.25">
      <c r="A112" s="200"/>
      <c r="B112" s="781"/>
      <c r="C112" s="782"/>
      <c r="D112" s="652"/>
      <c r="E112" s="652"/>
      <c r="F112" s="652"/>
      <c r="G112" s="652"/>
      <c r="H112" s="652"/>
      <c r="I112" s="652"/>
      <c r="J112" s="652"/>
      <c r="K112" s="652"/>
      <c r="L112" s="653"/>
    </row>
    <row r="113" spans="1:12" s="157" customFormat="1" x14ac:dyDescent="0.25">
      <c r="A113" s="200"/>
      <c r="B113" s="781"/>
      <c r="C113" s="782"/>
      <c r="D113" s="652"/>
      <c r="E113" s="652"/>
      <c r="F113" s="652"/>
      <c r="G113" s="652"/>
      <c r="H113" s="652"/>
      <c r="I113" s="652"/>
      <c r="J113" s="652"/>
      <c r="K113" s="652"/>
      <c r="L113" s="653"/>
    </row>
    <row r="114" spans="1:12" s="157" customFormat="1" x14ac:dyDescent="0.25">
      <c r="A114" s="200"/>
      <c r="B114" s="781"/>
      <c r="C114" s="782"/>
      <c r="D114" s="652"/>
      <c r="E114" s="652"/>
      <c r="F114" s="652"/>
      <c r="G114" s="652"/>
      <c r="H114" s="652"/>
      <c r="I114" s="652"/>
      <c r="J114" s="652"/>
      <c r="K114" s="652"/>
      <c r="L114" s="653"/>
    </row>
    <row r="115" spans="1:12" s="157" customFormat="1" x14ac:dyDescent="0.25">
      <c r="A115" s="200"/>
      <c r="B115" s="781"/>
      <c r="C115" s="782"/>
      <c r="D115" s="652"/>
      <c r="E115" s="652"/>
      <c r="F115" s="652"/>
      <c r="G115" s="652"/>
      <c r="H115" s="652"/>
      <c r="I115" s="652"/>
      <c r="J115" s="652"/>
      <c r="K115" s="652"/>
      <c r="L115" s="653"/>
    </row>
    <row r="116" spans="1:12" s="157" customFormat="1" x14ac:dyDescent="0.25">
      <c r="A116" s="200"/>
      <c r="B116" s="781"/>
      <c r="C116" s="782"/>
      <c r="D116" s="652"/>
      <c r="E116" s="652"/>
      <c r="F116" s="652"/>
      <c r="G116" s="652"/>
      <c r="H116" s="652"/>
      <c r="I116" s="652"/>
      <c r="J116" s="652"/>
      <c r="K116" s="652"/>
      <c r="L116" s="653"/>
    </row>
    <row r="117" spans="1:12" s="157" customFormat="1" x14ac:dyDescent="0.25">
      <c r="A117" s="200"/>
      <c r="B117" s="781">
        <v>3</v>
      </c>
      <c r="C117" s="782"/>
      <c r="D117" s="652"/>
      <c r="E117" s="652"/>
      <c r="F117" s="652"/>
      <c r="G117" s="652"/>
      <c r="H117" s="652"/>
      <c r="I117" s="652"/>
      <c r="J117" s="652"/>
      <c r="K117" s="652"/>
      <c r="L117" s="653"/>
    </row>
    <row r="118" spans="1:12" s="157" customFormat="1" x14ac:dyDescent="0.25">
      <c r="A118" s="200"/>
      <c r="B118" s="781"/>
      <c r="C118" s="782"/>
      <c r="D118" s="652"/>
      <c r="E118" s="652"/>
      <c r="F118" s="652"/>
      <c r="G118" s="652"/>
      <c r="H118" s="652"/>
      <c r="I118" s="652"/>
      <c r="J118" s="652"/>
      <c r="K118" s="652"/>
      <c r="L118" s="653"/>
    </row>
    <row r="119" spans="1:12" s="157" customFormat="1" x14ac:dyDescent="0.25">
      <c r="A119" s="200"/>
      <c r="B119" s="781"/>
      <c r="C119" s="782"/>
      <c r="D119" s="652"/>
      <c r="E119" s="652"/>
      <c r="F119" s="652"/>
      <c r="G119" s="652"/>
      <c r="H119" s="652"/>
      <c r="I119" s="652"/>
      <c r="J119" s="652"/>
      <c r="K119" s="652"/>
      <c r="L119" s="653"/>
    </row>
    <row r="120" spans="1:12" s="157" customFormat="1" x14ac:dyDescent="0.25">
      <c r="A120" s="200"/>
      <c r="B120" s="781"/>
      <c r="C120" s="782"/>
      <c r="D120" s="652"/>
      <c r="E120" s="652"/>
      <c r="F120" s="652"/>
      <c r="G120" s="652"/>
      <c r="H120" s="652"/>
      <c r="I120" s="652"/>
      <c r="J120" s="652"/>
      <c r="K120" s="652"/>
      <c r="L120" s="653"/>
    </row>
    <row r="121" spans="1:12" s="157" customFormat="1" x14ac:dyDescent="0.25">
      <c r="A121" s="200"/>
      <c r="B121" s="781"/>
      <c r="C121" s="782"/>
      <c r="D121" s="652"/>
      <c r="E121" s="652"/>
      <c r="F121" s="652"/>
      <c r="G121" s="652"/>
      <c r="H121" s="652"/>
      <c r="I121" s="652"/>
      <c r="J121" s="652"/>
      <c r="K121" s="652"/>
      <c r="L121" s="653"/>
    </row>
    <row r="122" spans="1:12" s="157" customFormat="1" x14ac:dyDescent="0.25">
      <c r="A122" s="200"/>
      <c r="B122" s="781"/>
      <c r="C122" s="782"/>
      <c r="D122" s="652"/>
      <c r="E122" s="652"/>
      <c r="F122" s="652"/>
      <c r="G122" s="652"/>
      <c r="H122" s="652"/>
      <c r="I122" s="652"/>
      <c r="J122" s="652"/>
      <c r="K122" s="652"/>
      <c r="L122" s="653"/>
    </row>
    <row r="123" spans="1:12" s="157" customFormat="1" x14ac:dyDescent="0.25">
      <c r="A123" s="200"/>
      <c r="B123" s="781"/>
      <c r="C123" s="782"/>
      <c r="D123" s="652"/>
      <c r="E123" s="652"/>
      <c r="F123" s="652"/>
      <c r="G123" s="652"/>
      <c r="H123" s="652"/>
      <c r="I123" s="652"/>
      <c r="J123" s="652"/>
      <c r="K123" s="652"/>
      <c r="L123" s="653"/>
    </row>
    <row r="124" spans="1:12" s="157" customFormat="1" x14ac:dyDescent="0.25">
      <c r="A124" s="200"/>
      <c r="B124" s="781"/>
      <c r="C124" s="782"/>
      <c r="D124" s="652"/>
      <c r="E124" s="652"/>
      <c r="F124" s="652"/>
      <c r="G124" s="652"/>
      <c r="H124" s="652"/>
      <c r="I124" s="652"/>
      <c r="J124" s="652"/>
      <c r="K124" s="652"/>
      <c r="L124" s="653"/>
    </row>
    <row r="125" spans="1:12" s="157" customFormat="1" x14ac:dyDescent="0.25">
      <c r="A125" s="200"/>
      <c r="B125" s="781"/>
      <c r="C125" s="782"/>
      <c r="D125" s="652"/>
      <c r="E125" s="652"/>
      <c r="F125" s="652"/>
      <c r="G125" s="652"/>
      <c r="H125" s="652"/>
      <c r="I125" s="652"/>
      <c r="J125" s="652"/>
      <c r="K125" s="652"/>
      <c r="L125" s="653"/>
    </row>
    <row r="126" spans="1:12" s="157" customFormat="1" x14ac:dyDescent="0.25">
      <c r="A126" s="200"/>
      <c r="B126" s="781"/>
      <c r="C126" s="782"/>
      <c r="D126" s="652"/>
      <c r="E126" s="652"/>
      <c r="F126" s="652"/>
      <c r="G126" s="652"/>
      <c r="H126" s="652"/>
      <c r="I126" s="652"/>
      <c r="J126" s="652"/>
      <c r="K126" s="652"/>
      <c r="L126" s="653"/>
    </row>
    <row r="127" spans="1:12" s="157" customFormat="1" x14ac:dyDescent="0.25">
      <c r="A127" s="200"/>
      <c r="B127" s="781">
        <v>4</v>
      </c>
      <c r="C127" s="782"/>
      <c r="D127" s="652"/>
      <c r="E127" s="652"/>
      <c r="F127" s="652"/>
      <c r="G127" s="652"/>
      <c r="H127" s="652"/>
      <c r="I127" s="652"/>
      <c r="J127" s="652"/>
      <c r="K127" s="652"/>
      <c r="L127" s="653"/>
    </row>
    <row r="128" spans="1:12" s="157" customFormat="1" x14ac:dyDescent="0.25">
      <c r="A128" s="200"/>
      <c r="B128" s="781"/>
      <c r="C128" s="782"/>
      <c r="D128" s="652"/>
      <c r="E128" s="652"/>
      <c r="F128" s="652"/>
      <c r="G128" s="652"/>
      <c r="H128" s="652"/>
      <c r="I128" s="652"/>
      <c r="J128" s="652"/>
      <c r="K128" s="652"/>
      <c r="L128" s="653"/>
    </row>
    <row r="129" spans="1:12" s="157" customFormat="1" x14ac:dyDescent="0.25">
      <c r="A129" s="200"/>
      <c r="B129" s="781"/>
      <c r="C129" s="782"/>
      <c r="D129" s="652"/>
      <c r="E129" s="652"/>
      <c r="F129" s="652"/>
      <c r="G129" s="652"/>
      <c r="H129" s="652"/>
      <c r="I129" s="652"/>
      <c r="J129" s="652"/>
      <c r="K129" s="652"/>
      <c r="L129" s="653"/>
    </row>
    <row r="130" spans="1:12" s="157" customFormat="1" x14ac:dyDescent="0.25">
      <c r="A130" s="200"/>
      <c r="B130" s="781"/>
      <c r="C130" s="782"/>
      <c r="D130" s="652"/>
      <c r="E130" s="652"/>
      <c r="F130" s="652"/>
      <c r="G130" s="652"/>
      <c r="H130" s="652"/>
      <c r="I130" s="652"/>
      <c r="J130" s="652"/>
      <c r="K130" s="652"/>
      <c r="L130" s="653"/>
    </row>
    <row r="131" spans="1:12" s="157" customFormat="1" x14ac:dyDescent="0.25">
      <c r="A131" s="200"/>
      <c r="B131" s="781"/>
      <c r="C131" s="782"/>
      <c r="D131" s="652"/>
      <c r="E131" s="652"/>
      <c r="F131" s="652"/>
      <c r="G131" s="652"/>
      <c r="H131" s="652"/>
      <c r="I131" s="652"/>
      <c r="J131" s="652"/>
      <c r="K131" s="652"/>
      <c r="L131" s="653"/>
    </row>
    <row r="132" spans="1:12" s="157" customFormat="1" x14ac:dyDescent="0.25">
      <c r="A132" s="200"/>
      <c r="B132" s="781"/>
      <c r="C132" s="782"/>
      <c r="D132" s="652"/>
      <c r="E132" s="652"/>
      <c r="F132" s="652"/>
      <c r="G132" s="652"/>
      <c r="H132" s="652"/>
      <c r="I132" s="652"/>
      <c r="J132" s="652"/>
      <c r="K132" s="652"/>
      <c r="L132" s="653"/>
    </row>
    <row r="133" spans="1:12" s="157" customFormat="1" x14ac:dyDescent="0.25">
      <c r="A133" s="200"/>
      <c r="B133" s="781"/>
      <c r="C133" s="782"/>
      <c r="D133" s="652"/>
      <c r="E133" s="652"/>
      <c r="F133" s="652"/>
      <c r="G133" s="652"/>
      <c r="H133" s="652"/>
      <c r="I133" s="652"/>
      <c r="J133" s="652"/>
      <c r="K133" s="652"/>
      <c r="L133" s="653"/>
    </row>
    <row r="134" spans="1:12" s="157" customFormat="1" x14ac:dyDescent="0.25">
      <c r="A134" s="200"/>
      <c r="B134" s="781"/>
      <c r="C134" s="782"/>
      <c r="D134" s="652"/>
      <c r="E134" s="652"/>
      <c r="F134" s="652"/>
      <c r="G134" s="652"/>
      <c r="H134" s="652"/>
      <c r="I134" s="652"/>
      <c r="J134" s="652"/>
      <c r="K134" s="652"/>
      <c r="L134" s="653"/>
    </row>
    <row r="135" spans="1:12" s="157" customFormat="1" x14ac:dyDescent="0.25">
      <c r="A135" s="200"/>
      <c r="B135" s="781"/>
      <c r="C135" s="782"/>
      <c r="D135" s="652"/>
      <c r="E135" s="652"/>
      <c r="F135" s="652"/>
      <c r="G135" s="652"/>
      <c r="H135" s="652"/>
      <c r="I135" s="652"/>
      <c r="J135" s="652"/>
      <c r="K135" s="652"/>
      <c r="L135" s="653"/>
    </row>
    <row r="136" spans="1:12" s="157" customFormat="1" x14ac:dyDescent="0.25">
      <c r="A136" s="200"/>
      <c r="B136" s="781"/>
      <c r="C136" s="782"/>
      <c r="D136" s="652"/>
      <c r="E136" s="652"/>
      <c r="F136" s="652"/>
      <c r="G136" s="652"/>
      <c r="H136" s="652"/>
      <c r="I136" s="652"/>
      <c r="J136" s="652"/>
      <c r="K136" s="652"/>
      <c r="L136" s="653"/>
    </row>
    <row r="137" spans="1:12" s="157" customFormat="1" x14ac:dyDescent="0.25">
      <c r="A137" s="200"/>
      <c r="B137" s="781">
        <v>5</v>
      </c>
      <c r="C137" s="782"/>
      <c r="D137" s="652"/>
      <c r="E137" s="652"/>
      <c r="F137" s="652"/>
      <c r="G137" s="652"/>
      <c r="H137" s="652"/>
      <c r="I137" s="652"/>
      <c r="J137" s="652"/>
      <c r="K137" s="652"/>
      <c r="L137" s="653"/>
    </row>
    <row r="138" spans="1:12" s="157" customFormat="1" x14ac:dyDescent="0.25">
      <c r="A138" s="200"/>
      <c r="B138" s="781"/>
      <c r="C138" s="782"/>
      <c r="D138" s="652"/>
      <c r="E138" s="652"/>
      <c r="F138" s="652"/>
      <c r="G138" s="652"/>
      <c r="H138" s="652"/>
      <c r="I138" s="652"/>
      <c r="J138" s="652"/>
      <c r="K138" s="652"/>
      <c r="L138" s="653"/>
    </row>
    <row r="139" spans="1:12" s="157" customFormat="1" x14ac:dyDescent="0.25">
      <c r="A139" s="200"/>
      <c r="B139" s="781"/>
      <c r="C139" s="782"/>
      <c r="D139" s="652"/>
      <c r="E139" s="652"/>
      <c r="F139" s="652"/>
      <c r="G139" s="652"/>
      <c r="H139" s="652"/>
      <c r="I139" s="652"/>
      <c r="J139" s="652"/>
      <c r="K139" s="652"/>
      <c r="L139" s="653"/>
    </row>
    <row r="140" spans="1:12" s="157" customFormat="1" x14ac:dyDescent="0.25">
      <c r="A140" s="200"/>
      <c r="B140" s="781"/>
      <c r="C140" s="782"/>
      <c r="D140" s="652"/>
      <c r="E140" s="652"/>
      <c r="F140" s="652"/>
      <c r="G140" s="652"/>
      <c r="H140" s="652"/>
      <c r="I140" s="652"/>
      <c r="J140" s="652"/>
      <c r="K140" s="652"/>
      <c r="L140" s="653"/>
    </row>
    <row r="141" spans="1:12" s="157" customFormat="1" x14ac:dyDescent="0.25">
      <c r="A141" s="200"/>
      <c r="B141" s="781"/>
      <c r="C141" s="782"/>
      <c r="D141" s="652"/>
      <c r="E141" s="652"/>
      <c r="F141" s="652"/>
      <c r="G141" s="652"/>
      <c r="H141" s="652"/>
      <c r="I141" s="652"/>
      <c r="J141" s="652"/>
      <c r="K141" s="652"/>
      <c r="L141" s="653"/>
    </row>
    <row r="142" spans="1:12" s="157" customFormat="1" x14ac:dyDescent="0.25">
      <c r="A142" s="200"/>
      <c r="B142" s="781"/>
      <c r="C142" s="782"/>
      <c r="D142" s="652"/>
      <c r="E142" s="652"/>
      <c r="F142" s="652"/>
      <c r="G142" s="652"/>
      <c r="H142" s="652"/>
      <c r="I142" s="652"/>
      <c r="J142" s="652"/>
      <c r="K142" s="652"/>
      <c r="L142" s="653"/>
    </row>
    <row r="143" spans="1:12" s="157" customFormat="1" x14ac:dyDescent="0.25">
      <c r="A143" s="200"/>
      <c r="B143" s="781"/>
      <c r="C143" s="782"/>
      <c r="D143" s="652"/>
      <c r="E143" s="652"/>
      <c r="F143" s="652"/>
      <c r="G143" s="652"/>
      <c r="H143" s="652"/>
      <c r="I143" s="652"/>
      <c r="J143" s="652"/>
      <c r="K143" s="652"/>
      <c r="L143" s="653"/>
    </row>
    <row r="144" spans="1:12" s="157" customFormat="1" x14ac:dyDescent="0.25">
      <c r="A144" s="200"/>
      <c r="B144" s="781"/>
      <c r="C144" s="782"/>
      <c r="D144" s="652"/>
      <c r="E144" s="652"/>
      <c r="F144" s="652"/>
      <c r="G144" s="652"/>
      <c r="H144" s="652"/>
      <c r="I144" s="652"/>
      <c r="J144" s="652"/>
      <c r="K144" s="652"/>
      <c r="L144" s="653"/>
    </row>
    <row r="145" spans="1:16" s="157" customFormat="1" x14ac:dyDescent="0.25">
      <c r="A145" s="200"/>
      <c r="B145" s="781"/>
      <c r="C145" s="782"/>
      <c r="D145" s="652"/>
      <c r="E145" s="652"/>
      <c r="F145" s="652"/>
      <c r="G145" s="652"/>
      <c r="H145" s="652"/>
      <c r="I145" s="652"/>
      <c r="J145" s="652"/>
      <c r="K145" s="652"/>
      <c r="L145" s="653"/>
    </row>
    <row r="146" spans="1:16" s="157" customFormat="1" x14ac:dyDescent="0.25">
      <c r="A146" s="200"/>
      <c r="B146" s="781"/>
      <c r="C146" s="782"/>
      <c r="D146" s="652"/>
      <c r="E146" s="652"/>
      <c r="F146" s="652"/>
      <c r="G146" s="652"/>
      <c r="H146" s="652"/>
      <c r="I146" s="652"/>
      <c r="J146" s="652"/>
      <c r="K146" s="652"/>
      <c r="L146" s="653"/>
    </row>
    <row r="147" spans="1:16" s="182" customFormat="1" x14ac:dyDescent="0.25">
      <c r="A147" s="204"/>
      <c r="B147" s="223"/>
      <c r="C147" s="224"/>
      <c r="D147" s="224"/>
      <c r="E147" s="224"/>
      <c r="F147" s="224"/>
      <c r="G147" s="224"/>
      <c r="H147" s="224"/>
      <c r="I147" s="224"/>
      <c r="J147" s="224"/>
      <c r="K147" s="224"/>
      <c r="L147" s="222"/>
      <c r="O147" s="178"/>
      <c r="P147" s="178"/>
    </row>
    <row r="148" spans="1:16" s="3" customFormat="1" x14ac:dyDescent="0.25">
      <c r="A148" s="15"/>
      <c r="B148" s="767" t="s">
        <v>31</v>
      </c>
      <c r="C148" s="768"/>
      <c r="D148" s="768"/>
      <c r="E148" s="768"/>
      <c r="F148" s="768"/>
      <c r="G148" s="768"/>
      <c r="H148" s="768"/>
      <c r="I148" s="768"/>
      <c r="J148" s="768"/>
      <c r="K148" s="768"/>
      <c r="L148" s="769"/>
      <c r="M148" s="216"/>
      <c r="O148" s="176"/>
      <c r="P148" s="176"/>
    </row>
    <row r="149" spans="1:16" s="182" customFormat="1" x14ac:dyDescent="0.25">
      <c r="A149" s="204"/>
      <c r="B149" s="220"/>
      <c r="C149" s="221"/>
      <c r="D149" s="221"/>
      <c r="E149" s="221"/>
      <c r="F149" s="221"/>
      <c r="G149" s="221"/>
      <c r="H149" s="221"/>
      <c r="I149" s="221"/>
      <c r="J149" s="221"/>
      <c r="K149" s="221"/>
      <c r="L149" s="206"/>
      <c r="O149" s="178"/>
      <c r="P149" s="178"/>
    </row>
    <row r="150" spans="1:16" s="182" customFormat="1" x14ac:dyDescent="0.25">
      <c r="A150" s="204"/>
      <c r="B150" s="778" t="str">
        <f>IF(Intro!$G$21="English",O150,P150)</f>
        <v>Décrivez les processus de production de votre entreprise pour les marchandises et fournissez des organigrammes illustrant les processus.</v>
      </c>
      <c r="C150" s="779"/>
      <c r="D150" s="779"/>
      <c r="E150" s="779"/>
      <c r="F150" s="779"/>
      <c r="G150" s="779"/>
      <c r="H150" s="779"/>
      <c r="I150" s="779"/>
      <c r="J150" s="779"/>
      <c r="K150" s="779"/>
      <c r="L150" s="780"/>
      <c r="O150" s="178" t="s">
        <v>348</v>
      </c>
      <c r="P150" s="178" t="s">
        <v>349</v>
      </c>
    </row>
    <row r="151" spans="1:16" s="182" customFormat="1" x14ac:dyDescent="0.25">
      <c r="A151" s="204"/>
      <c r="B151" s="220"/>
      <c r="C151" s="221"/>
      <c r="D151" s="221"/>
      <c r="E151" s="221"/>
      <c r="F151" s="221"/>
      <c r="G151" s="221"/>
      <c r="H151" s="221"/>
      <c r="I151" s="221"/>
      <c r="J151" s="221"/>
      <c r="K151" s="221"/>
      <c r="L151" s="206"/>
      <c r="O151" s="178"/>
      <c r="P151" s="178"/>
    </row>
    <row r="152" spans="1:16" s="3" customFormat="1" x14ac:dyDescent="0.25">
      <c r="A152" s="15"/>
      <c r="B152" s="773"/>
      <c r="C152" s="774"/>
      <c r="D152" s="774"/>
      <c r="E152" s="774"/>
      <c r="F152" s="774"/>
      <c r="G152" s="774"/>
      <c r="H152" s="774"/>
      <c r="I152" s="774"/>
      <c r="J152" s="774"/>
      <c r="K152" s="774"/>
      <c r="L152" s="775"/>
      <c r="M152" s="182"/>
      <c r="O152" s="176"/>
      <c r="P152" s="176"/>
    </row>
    <row r="153" spans="1:16" s="3" customFormat="1" x14ac:dyDescent="0.25">
      <c r="A153" s="15"/>
      <c r="B153" s="773"/>
      <c r="C153" s="774"/>
      <c r="D153" s="774"/>
      <c r="E153" s="774"/>
      <c r="F153" s="774"/>
      <c r="G153" s="774"/>
      <c r="H153" s="774"/>
      <c r="I153" s="774"/>
      <c r="J153" s="774"/>
      <c r="K153" s="774"/>
      <c r="L153" s="775"/>
      <c r="M153" s="182"/>
      <c r="O153" s="176"/>
      <c r="P153" s="176"/>
    </row>
    <row r="154" spans="1:16" s="3" customFormat="1" x14ac:dyDescent="0.25">
      <c r="A154" s="15"/>
      <c r="B154" s="773"/>
      <c r="C154" s="774"/>
      <c r="D154" s="774"/>
      <c r="E154" s="774"/>
      <c r="F154" s="774"/>
      <c r="G154" s="774"/>
      <c r="H154" s="774"/>
      <c r="I154" s="774"/>
      <c r="J154" s="774"/>
      <c r="K154" s="774"/>
      <c r="L154" s="775"/>
      <c r="M154" s="182"/>
      <c r="O154" s="176"/>
      <c r="P154" s="176"/>
    </row>
    <row r="155" spans="1:16" s="3" customFormat="1" x14ac:dyDescent="0.25">
      <c r="A155" s="15"/>
      <c r="B155" s="773"/>
      <c r="C155" s="774"/>
      <c r="D155" s="774"/>
      <c r="E155" s="774"/>
      <c r="F155" s="774"/>
      <c r="G155" s="774"/>
      <c r="H155" s="774"/>
      <c r="I155" s="774"/>
      <c r="J155" s="774"/>
      <c r="K155" s="774"/>
      <c r="L155" s="775"/>
      <c r="M155" s="182"/>
      <c r="O155" s="176"/>
      <c r="P155" s="176"/>
    </row>
    <row r="156" spans="1:16" s="3" customFormat="1" x14ac:dyDescent="0.25">
      <c r="A156" s="15"/>
      <c r="B156" s="773"/>
      <c r="C156" s="774"/>
      <c r="D156" s="774"/>
      <c r="E156" s="774"/>
      <c r="F156" s="774"/>
      <c r="G156" s="774"/>
      <c r="H156" s="774"/>
      <c r="I156" s="774"/>
      <c r="J156" s="774"/>
      <c r="K156" s="774"/>
      <c r="L156" s="775"/>
      <c r="M156" s="182"/>
      <c r="O156" s="176"/>
      <c r="P156" s="176"/>
    </row>
    <row r="157" spans="1:16" s="3" customFormat="1" x14ac:dyDescent="0.25">
      <c r="A157" s="15"/>
      <c r="B157" s="773"/>
      <c r="C157" s="774"/>
      <c r="D157" s="774"/>
      <c r="E157" s="774"/>
      <c r="F157" s="774"/>
      <c r="G157" s="774"/>
      <c r="H157" s="774"/>
      <c r="I157" s="774"/>
      <c r="J157" s="774"/>
      <c r="K157" s="774"/>
      <c r="L157" s="775"/>
      <c r="M157" s="182"/>
      <c r="O157" s="176"/>
      <c r="P157" s="176"/>
    </row>
    <row r="158" spans="1:16" s="3" customFormat="1" x14ac:dyDescent="0.25">
      <c r="A158" s="15"/>
      <c r="B158" s="773"/>
      <c r="C158" s="774"/>
      <c r="D158" s="774"/>
      <c r="E158" s="774"/>
      <c r="F158" s="774"/>
      <c r="G158" s="774"/>
      <c r="H158" s="774"/>
      <c r="I158" s="774"/>
      <c r="J158" s="774"/>
      <c r="K158" s="774"/>
      <c r="L158" s="775"/>
      <c r="M158" s="182"/>
      <c r="O158" s="176"/>
      <c r="P158" s="176"/>
    </row>
    <row r="159" spans="1:16" s="3" customFormat="1" x14ac:dyDescent="0.25">
      <c r="A159" s="15"/>
      <c r="B159" s="773"/>
      <c r="C159" s="774"/>
      <c r="D159" s="774"/>
      <c r="E159" s="774"/>
      <c r="F159" s="774"/>
      <c r="G159" s="774"/>
      <c r="H159" s="774"/>
      <c r="I159" s="774"/>
      <c r="J159" s="774"/>
      <c r="K159" s="774"/>
      <c r="L159" s="775"/>
      <c r="M159" s="182"/>
      <c r="O159" s="176"/>
      <c r="P159" s="176"/>
    </row>
    <row r="160" spans="1:16" s="182" customFormat="1" x14ac:dyDescent="0.25">
      <c r="A160" s="204"/>
      <c r="B160" s="223"/>
      <c r="C160" s="224"/>
      <c r="D160" s="224"/>
      <c r="E160" s="224"/>
      <c r="F160" s="224"/>
      <c r="G160" s="224"/>
      <c r="H160" s="224"/>
      <c r="I160" s="224"/>
      <c r="J160" s="224"/>
      <c r="K160" s="224"/>
      <c r="L160" s="222"/>
      <c r="O160" s="178"/>
      <c r="P160" s="178"/>
    </row>
    <row r="161" spans="1:16" s="3" customFormat="1" x14ac:dyDescent="0.25">
      <c r="A161" s="14"/>
      <c r="B161" s="767" t="s">
        <v>33</v>
      </c>
      <c r="C161" s="768"/>
      <c r="D161" s="768"/>
      <c r="E161" s="768"/>
      <c r="F161" s="768"/>
      <c r="G161" s="768"/>
      <c r="H161" s="768"/>
      <c r="I161" s="768"/>
      <c r="J161" s="768"/>
      <c r="K161" s="768"/>
      <c r="L161" s="769"/>
      <c r="M161" s="216"/>
    </row>
    <row r="162" spans="1:16" s="157" customFormat="1" x14ac:dyDescent="0.25">
      <c r="A162" s="200"/>
      <c r="B162" s="201"/>
      <c r="C162" s="202"/>
      <c r="D162" s="202"/>
      <c r="E162" s="202"/>
      <c r="F162" s="202"/>
      <c r="G162" s="202"/>
      <c r="H162" s="202"/>
      <c r="I162" s="202"/>
      <c r="J162" s="202"/>
      <c r="K162" s="202"/>
      <c r="L162" s="203"/>
    </row>
    <row r="163" spans="1:16" s="12" customFormat="1" x14ac:dyDescent="0.25">
      <c r="A163" s="14"/>
      <c r="B163" s="672" t="str">
        <f>IF(Intro!$G$21="English",O163,P163)</f>
        <v>Énumérez les trois principales matières directes utilisées dans la production des marchandises par votre entreprise, en fonction de leur valeur.</v>
      </c>
      <c r="C163" s="673"/>
      <c r="D163" s="673"/>
      <c r="E163" s="673"/>
      <c r="F163" s="673"/>
      <c r="G163" s="673"/>
      <c r="H163" s="673"/>
      <c r="I163" s="673"/>
      <c r="J163" s="673"/>
      <c r="K163" s="673"/>
      <c r="L163" s="674"/>
      <c r="O163" s="13" t="s">
        <v>212</v>
      </c>
      <c r="P163" s="12" t="s">
        <v>213</v>
      </c>
    </row>
    <row r="164" spans="1:16" s="12" customFormat="1" x14ac:dyDescent="0.25">
      <c r="A164" s="14"/>
      <c r="B164" s="186"/>
      <c r="C164" s="187"/>
      <c r="D164" s="32"/>
      <c r="E164" s="33"/>
      <c r="F164" s="33"/>
      <c r="G164" s="33"/>
      <c r="H164" s="33"/>
      <c r="I164" s="33"/>
      <c r="J164" s="33"/>
      <c r="K164" s="33"/>
      <c r="L164" s="34"/>
      <c r="O164" s="13"/>
    </row>
    <row r="165" spans="1:16" s="12" customFormat="1" x14ac:dyDescent="0.25">
      <c r="A165" s="14"/>
      <c r="B165" s="783" t="str">
        <f>IF(Intro!$G$21="English",O165,P165)</f>
        <v>La matière directe utilisée 1</v>
      </c>
      <c r="C165" s="784"/>
      <c r="D165" s="785"/>
      <c r="E165" s="786"/>
      <c r="F165" s="786"/>
      <c r="G165" s="786"/>
      <c r="H165" s="786"/>
      <c r="I165" s="786"/>
      <c r="J165" s="786"/>
      <c r="K165" s="786"/>
      <c r="L165" s="787"/>
      <c r="O165" s="13" t="s">
        <v>214</v>
      </c>
      <c r="P165" s="12" t="s">
        <v>215</v>
      </c>
    </row>
    <row r="166" spans="1:16" s="12" customFormat="1" x14ac:dyDescent="0.25">
      <c r="A166" s="14"/>
      <c r="B166" s="783" t="str">
        <f>IF(Intro!$G$21="English",O166,P166)</f>
        <v>La matière directe utilisée 2</v>
      </c>
      <c r="C166" s="784"/>
      <c r="D166" s="785"/>
      <c r="E166" s="786"/>
      <c r="F166" s="786"/>
      <c r="G166" s="786"/>
      <c r="H166" s="786"/>
      <c r="I166" s="786"/>
      <c r="J166" s="786"/>
      <c r="K166" s="786"/>
      <c r="L166" s="787"/>
      <c r="O166" s="13" t="s">
        <v>216</v>
      </c>
      <c r="P166" s="12" t="s">
        <v>217</v>
      </c>
    </row>
    <row r="167" spans="1:16" s="12" customFormat="1" x14ac:dyDescent="0.25">
      <c r="A167" s="14"/>
      <c r="B167" s="783" t="str">
        <f>IF(Intro!$G$21="English",O167,P167)</f>
        <v>La matière directe utilisée 3</v>
      </c>
      <c r="C167" s="784"/>
      <c r="D167" s="785"/>
      <c r="E167" s="786"/>
      <c r="F167" s="786"/>
      <c r="G167" s="786"/>
      <c r="H167" s="786"/>
      <c r="I167" s="786"/>
      <c r="J167" s="786"/>
      <c r="K167" s="786"/>
      <c r="L167" s="787"/>
      <c r="O167" s="13" t="s">
        <v>218</v>
      </c>
      <c r="P167" s="12" t="s">
        <v>219</v>
      </c>
    </row>
    <row r="168" spans="1:16" s="12" customFormat="1" x14ac:dyDescent="0.25">
      <c r="A168" s="14"/>
      <c r="B168" s="186"/>
      <c r="C168" s="187"/>
      <c r="D168" s="32"/>
      <c r="E168" s="33"/>
      <c r="F168" s="33"/>
      <c r="G168" s="33"/>
      <c r="H168" s="33"/>
      <c r="I168" s="33"/>
      <c r="J168" s="33"/>
      <c r="K168" s="33"/>
      <c r="L168" s="34"/>
      <c r="O168" s="13"/>
    </row>
    <row r="169" spans="1:16" s="3" customFormat="1" x14ac:dyDescent="0.25">
      <c r="A169" s="15"/>
      <c r="B169" s="767" t="s">
        <v>34</v>
      </c>
      <c r="C169" s="768"/>
      <c r="D169" s="768"/>
      <c r="E169" s="768"/>
      <c r="F169" s="768"/>
      <c r="G169" s="768"/>
      <c r="H169" s="768"/>
      <c r="I169" s="768"/>
      <c r="J169" s="768"/>
      <c r="K169" s="768"/>
      <c r="L169" s="769"/>
      <c r="M169" s="216"/>
      <c r="O169" s="176"/>
      <c r="P169" s="176"/>
    </row>
    <row r="170" spans="1:16" s="182" customFormat="1" x14ac:dyDescent="0.25">
      <c r="A170" s="204"/>
      <c r="B170" s="220"/>
      <c r="C170" s="221"/>
      <c r="D170" s="221"/>
      <c r="E170" s="221"/>
      <c r="F170" s="221"/>
      <c r="G170" s="221"/>
      <c r="H170" s="221"/>
      <c r="I170" s="221"/>
      <c r="J170" s="221"/>
      <c r="K170" s="221"/>
      <c r="L170" s="206"/>
      <c r="O170" s="178"/>
      <c r="P170" s="178"/>
    </row>
    <row r="171" spans="1:16" s="182" customFormat="1" x14ac:dyDescent="0.25">
      <c r="A171" s="204"/>
      <c r="B171" s="778" t="str">
        <f>IF(Intro!$G$21="English",O171,P171)</f>
        <v>Quelles publications ou indices votre entreprise utilise-t-elle pour suivre les prix des matières directes utilisées dans la production des marchandises?</v>
      </c>
      <c r="C171" s="779"/>
      <c r="D171" s="779"/>
      <c r="E171" s="779"/>
      <c r="F171" s="779"/>
      <c r="G171" s="779"/>
      <c r="H171" s="779"/>
      <c r="I171" s="779"/>
      <c r="J171" s="779"/>
      <c r="K171" s="779"/>
      <c r="L171" s="780"/>
      <c r="O171" s="178" t="s">
        <v>433</v>
      </c>
      <c r="P171" s="178" t="s">
        <v>434</v>
      </c>
    </row>
    <row r="172" spans="1:16" s="182" customFormat="1" x14ac:dyDescent="0.25">
      <c r="A172" s="204"/>
      <c r="B172" s="220"/>
      <c r="C172" s="221"/>
      <c r="D172" s="221"/>
      <c r="E172" s="221"/>
      <c r="F172" s="221"/>
      <c r="G172" s="221"/>
      <c r="H172" s="221"/>
      <c r="I172" s="221"/>
      <c r="J172" s="221"/>
      <c r="K172" s="221"/>
      <c r="L172" s="206"/>
      <c r="O172" s="178"/>
      <c r="P172" s="178"/>
    </row>
    <row r="173" spans="1:16" s="3" customFormat="1" x14ac:dyDescent="0.25">
      <c r="A173" s="15"/>
      <c r="B173" s="773"/>
      <c r="C173" s="774"/>
      <c r="D173" s="774"/>
      <c r="E173" s="774"/>
      <c r="F173" s="774"/>
      <c r="G173" s="774"/>
      <c r="H173" s="774"/>
      <c r="I173" s="774"/>
      <c r="J173" s="774"/>
      <c r="K173" s="774"/>
      <c r="L173" s="775"/>
      <c r="M173" s="182"/>
      <c r="O173" s="176"/>
      <c r="P173" s="176"/>
    </row>
    <row r="174" spans="1:16" s="3" customFormat="1" x14ac:dyDescent="0.25">
      <c r="A174" s="15"/>
      <c r="B174" s="773"/>
      <c r="C174" s="774"/>
      <c r="D174" s="774"/>
      <c r="E174" s="774"/>
      <c r="F174" s="774"/>
      <c r="G174" s="774"/>
      <c r="H174" s="774"/>
      <c r="I174" s="774"/>
      <c r="J174" s="774"/>
      <c r="K174" s="774"/>
      <c r="L174" s="775"/>
      <c r="M174" s="182"/>
      <c r="O174" s="176"/>
      <c r="P174" s="176"/>
    </row>
    <row r="175" spans="1:16" s="3" customFormat="1" x14ac:dyDescent="0.25">
      <c r="A175" s="15"/>
      <c r="B175" s="773"/>
      <c r="C175" s="774"/>
      <c r="D175" s="774"/>
      <c r="E175" s="774"/>
      <c r="F175" s="774"/>
      <c r="G175" s="774"/>
      <c r="H175" s="774"/>
      <c r="I175" s="774"/>
      <c r="J175" s="774"/>
      <c r="K175" s="774"/>
      <c r="L175" s="775"/>
      <c r="M175" s="182"/>
      <c r="O175" s="176"/>
      <c r="P175" s="176"/>
    </row>
    <row r="176" spans="1:16" s="3" customFormat="1" x14ac:dyDescent="0.25">
      <c r="A176" s="15"/>
      <c r="B176" s="773"/>
      <c r="C176" s="774"/>
      <c r="D176" s="774"/>
      <c r="E176" s="774"/>
      <c r="F176" s="774"/>
      <c r="G176" s="774"/>
      <c r="H176" s="774"/>
      <c r="I176" s="774"/>
      <c r="J176" s="774"/>
      <c r="K176" s="774"/>
      <c r="L176" s="775"/>
      <c r="M176" s="182"/>
      <c r="O176" s="176"/>
      <c r="P176" s="176"/>
    </row>
    <row r="177" spans="1:16" s="3" customFormat="1" x14ac:dyDescent="0.25">
      <c r="A177" s="15"/>
      <c r="B177" s="773"/>
      <c r="C177" s="774"/>
      <c r="D177" s="774"/>
      <c r="E177" s="774"/>
      <c r="F177" s="774"/>
      <c r="G177" s="774"/>
      <c r="H177" s="774"/>
      <c r="I177" s="774"/>
      <c r="J177" s="774"/>
      <c r="K177" s="774"/>
      <c r="L177" s="775"/>
      <c r="M177" s="182"/>
      <c r="O177" s="176"/>
      <c r="P177" s="176"/>
    </row>
    <row r="178" spans="1:16" s="3" customFormat="1" x14ac:dyDescent="0.25">
      <c r="A178" s="15"/>
      <c r="B178" s="773"/>
      <c r="C178" s="774"/>
      <c r="D178" s="774"/>
      <c r="E178" s="774"/>
      <c r="F178" s="774"/>
      <c r="G178" s="774"/>
      <c r="H178" s="774"/>
      <c r="I178" s="774"/>
      <c r="J178" s="774"/>
      <c r="K178" s="774"/>
      <c r="L178" s="775"/>
      <c r="M178" s="182"/>
      <c r="O178" s="176"/>
      <c r="P178" s="176"/>
    </row>
    <row r="179" spans="1:16" s="3" customFormat="1" x14ac:dyDescent="0.25">
      <c r="A179" s="15"/>
      <c r="B179" s="773"/>
      <c r="C179" s="774"/>
      <c r="D179" s="774"/>
      <c r="E179" s="774"/>
      <c r="F179" s="774"/>
      <c r="G179" s="774"/>
      <c r="H179" s="774"/>
      <c r="I179" s="774"/>
      <c r="J179" s="774"/>
      <c r="K179" s="774"/>
      <c r="L179" s="775"/>
      <c r="M179" s="182"/>
      <c r="O179" s="176"/>
      <c r="P179" s="176"/>
    </row>
    <row r="180" spans="1:16" s="3" customFormat="1" x14ac:dyDescent="0.25">
      <c r="A180" s="15"/>
      <c r="B180" s="773"/>
      <c r="C180" s="774"/>
      <c r="D180" s="774"/>
      <c r="E180" s="774"/>
      <c r="F180" s="774"/>
      <c r="G180" s="774"/>
      <c r="H180" s="774"/>
      <c r="I180" s="774"/>
      <c r="J180" s="774"/>
      <c r="K180" s="774"/>
      <c r="L180" s="775"/>
      <c r="M180" s="182"/>
      <c r="O180" s="176"/>
      <c r="P180" s="176"/>
    </row>
    <row r="181" spans="1:16" s="182" customFormat="1" x14ac:dyDescent="0.25">
      <c r="A181" s="204"/>
      <c r="B181" s="223"/>
      <c r="C181" s="224"/>
      <c r="D181" s="224"/>
      <c r="E181" s="224"/>
      <c r="F181" s="224"/>
      <c r="G181" s="224"/>
      <c r="H181" s="224"/>
      <c r="I181" s="224"/>
      <c r="J181" s="224"/>
      <c r="K181" s="224"/>
      <c r="L181" s="222"/>
      <c r="O181" s="178"/>
      <c r="P181" s="178"/>
    </row>
    <row r="182" spans="1:16" s="3" customFormat="1" x14ac:dyDescent="0.25">
      <c r="A182" s="15"/>
      <c r="B182" s="767" t="s">
        <v>35</v>
      </c>
      <c r="C182" s="768"/>
      <c r="D182" s="768"/>
      <c r="E182" s="768"/>
      <c r="F182" s="768"/>
      <c r="G182" s="768"/>
      <c r="H182" s="768"/>
      <c r="I182" s="768"/>
      <c r="J182" s="768"/>
      <c r="K182" s="768"/>
      <c r="L182" s="769"/>
      <c r="M182" s="216"/>
      <c r="O182" s="176"/>
      <c r="P182" s="176"/>
    </row>
    <row r="183" spans="1:16" s="182" customFormat="1" x14ac:dyDescent="0.25">
      <c r="A183" s="204"/>
      <c r="B183" s="220"/>
      <c r="C183" s="221"/>
      <c r="D183" s="221"/>
      <c r="E183" s="221"/>
      <c r="F183" s="221"/>
      <c r="G183" s="221"/>
      <c r="H183" s="221"/>
      <c r="I183" s="221"/>
      <c r="J183" s="221"/>
      <c r="K183" s="221"/>
      <c r="L183" s="206"/>
      <c r="O183" s="178"/>
      <c r="P183" s="178"/>
    </row>
    <row r="184" spans="1:16" s="182" customFormat="1" x14ac:dyDescent="0.25">
      <c r="A184" s="204"/>
      <c r="B184" s="778" t="str">
        <f>IF(Intro!$G$21="English",O184,P184)</f>
        <v>Fournissez des détails si votre entreprise a modifié la gamme de marchandises qu'elle produit depuis le 1er janvier 2022.</v>
      </c>
      <c r="C184" s="779"/>
      <c r="D184" s="779"/>
      <c r="E184" s="779"/>
      <c r="F184" s="779"/>
      <c r="G184" s="779"/>
      <c r="H184" s="779"/>
      <c r="I184" s="779"/>
      <c r="J184" s="779"/>
      <c r="K184" s="779"/>
      <c r="L184" s="780"/>
      <c r="O184" s="178" t="str">
        <f>"Provide details if your firm has changed the product mix of the goods produced since January 1, "&amp;Variables!B6&amp;"."</f>
        <v>Provide details if your firm has changed the product mix of the goods produced since January 1, 2022.</v>
      </c>
      <c r="P184" s="178" t="str">
        <f>"Fournissez des détails si votre entreprise a modifié la gamme de marchandises qu'elle produit depuis le 1er janvier "&amp;Variables!B6&amp;"."</f>
        <v>Fournissez des détails si votre entreprise a modifié la gamme de marchandises qu'elle produit depuis le 1er janvier 2022.</v>
      </c>
    </row>
    <row r="185" spans="1:16" s="182" customFormat="1" x14ac:dyDescent="0.25">
      <c r="A185" s="204"/>
      <c r="B185" s="220"/>
      <c r="C185" s="221"/>
      <c r="D185" s="221"/>
      <c r="E185" s="221"/>
      <c r="F185" s="221"/>
      <c r="G185" s="221"/>
      <c r="H185" s="221"/>
      <c r="I185" s="221"/>
      <c r="J185" s="221"/>
      <c r="K185" s="221"/>
      <c r="L185" s="206"/>
      <c r="O185" s="178"/>
      <c r="P185" s="178"/>
    </row>
    <row r="186" spans="1:16" s="3" customFormat="1" x14ac:dyDescent="0.25">
      <c r="A186" s="15"/>
      <c r="B186" s="773"/>
      <c r="C186" s="774"/>
      <c r="D186" s="774"/>
      <c r="E186" s="774"/>
      <c r="F186" s="774"/>
      <c r="G186" s="774"/>
      <c r="H186" s="774"/>
      <c r="I186" s="774"/>
      <c r="J186" s="774"/>
      <c r="K186" s="774"/>
      <c r="L186" s="775"/>
      <c r="M186" s="182"/>
      <c r="O186" s="176"/>
      <c r="P186" s="176"/>
    </row>
    <row r="187" spans="1:16" s="3" customFormat="1" x14ac:dyDescent="0.25">
      <c r="A187" s="15"/>
      <c r="B187" s="773"/>
      <c r="C187" s="774"/>
      <c r="D187" s="774"/>
      <c r="E187" s="774"/>
      <c r="F187" s="774"/>
      <c r="G187" s="774"/>
      <c r="H187" s="774"/>
      <c r="I187" s="774"/>
      <c r="J187" s="774"/>
      <c r="K187" s="774"/>
      <c r="L187" s="775"/>
      <c r="M187" s="182"/>
      <c r="O187" s="176"/>
      <c r="P187" s="176"/>
    </row>
    <row r="188" spans="1:16" s="3" customFormat="1" x14ac:dyDescent="0.25">
      <c r="A188" s="15"/>
      <c r="B188" s="773"/>
      <c r="C188" s="774"/>
      <c r="D188" s="774"/>
      <c r="E188" s="774"/>
      <c r="F188" s="774"/>
      <c r="G188" s="774"/>
      <c r="H188" s="774"/>
      <c r="I188" s="774"/>
      <c r="J188" s="774"/>
      <c r="K188" s="774"/>
      <c r="L188" s="775"/>
      <c r="M188" s="182"/>
      <c r="O188" s="176"/>
      <c r="P188" s="176"/>
    </row>
    <row r="189" spans="1:16" s="3" customFormat="1" x14ac:dyDescent="0.25">
      <c r="A189" s="15"/>
      <c r="B189" s="773"/>
      <c r="C189" s="774"/>
      <c r="D189" s="774"/>
      <c r="E189" s="774"/>
      <c r="F189" s="774"/>
      <c r="G189" s="774"/>
      <c r="H189" s="774"/>
      <c r="I189" s="774"/>
      <c r="J189" s="774"/>
      <c r="K189" s="774"/>
      <c r="L189" s="775"/>
      <c r="M189" s="182"/>
      <c r="O189" s="176"/>
      <c r="P189" s="176"/>
    </row>
    <row r="190" spans="1:16" s="3" customFormat="1" x14ac:dyDescent="0.25">
      <c r="A190" s="15"/>
      <c r="B190" s="773"/>
      <c r="C190" s="774"/>
      <c r="D190" s="774"/>
      <c r="E190" s="774"/>
      <c r="F190" s="774"/>
      <c r="G190" s="774"/>
      <c r="H190" s="774"/>
      <c r="I190" s="774"/>
      <c r="J190" s="774"/>
      <c r="K190" s="774"/>
      <c r="L190" s="775"/>
      <c r="M190" s="182"/>
      <c r="O190" s="176"/>
      <c r="P190" s="176"/>
    </row>
    <row r="191" spans="1:16" s="3" customFormat="1" x14ac:dyDescent="0.25">
      <c r="A191" s="15"/>
      <c r="B191" s="773"/>
      <c r="C191" s="774"/>
      <c r="D191" s="774"/>
      <c r="E191" s="774"/>
      <c r="F191" s="774"/>
      <c r="G191" s="774"/>
      <c r="H191" s="774"/>
      <c r="I191" s="774"/>
      <c r="J191" s="774"/>
      <c r="K191" s="774"/>
      <c r="L191" s="775"/>
      <c r="M191" s="182"/>
      <c r="O191" s="176"/>
      <c r="P191" s="176"/>
    </row>
    <row r="192" spans="1:16" s="3" customFormat="1" x14ac:dyDescent="0.25">
      <c r="A192" s="15"/>
      <c r="B192" s="773"/>
      <c r="C192" s="774"/>
      <c r="D192" s="774"/>
      <c r="E192" s="774"/>
      <c r="F192" s="774"/>
      <c r="G192" s="774"/>
      <c r="H192" s="774"/>
      <c r="I192" s="774"/>
      <c r="J192" s="774"/>
      <c r="K192" s="774"/>
      <c r="L192" s="775"/>
      <c r="M192" s="182"/>
      <c r="O192" s="176"/>
      <c r="P192" s="176"/>
    </row>
    <row r="193" spans="1:16" s="3" customFormat="1" x14ac:dyDescent="0.25">
      <c r="A193" s="15"/>
      <c r="B193" s="773"/>
      <c r="C193" s="774"/>
      <c r="D193" s="774"/>
      <c r="E193" s="774"/>
      <c r="F193" s="774"/>
      <c r="G193" s="774"/>
      <c r="H193" s="774"/>
      <c r="I193" s="774"/>
      <c r="J193" s="774"/>
      <c r="K193" s="774"/>
      <c r="L193" s="775"/>
      <c r="M193" s="182"/>
      <c r="O193" s="176"/>
      <c r="P193" s="176"/>
    </row>
    <row r="194" spans="1:16" s="182" customFormat="1" x14ac:dyDescent="0.25">
      <c r="A194" s="204"/>
      <c r="B194" s="223"/>
      <c r="C194" s="224"/>
      <c r="D194" s="224"/>
      <c r="E194" s="224"/>
      <c r="F194" s="224"/>
      <c r="G194" s="224"/>
      <c r="H194" s="224"/>
      <c r="I194" s="224"/>
      <c r="J194" s="224"/>
      <c r="K194" s="224"/>
      <c r="L194" s="222"/>
      <c r="O194" s="178"/>
      <c r="P194" s="178"/>
    </row>
    <row r="195" spans="1:16" x14ac:dyDescent="0.25">
      <c r="B195" s="49"/>
      <c r="L195" s="50"/>
    </row>
    <row r="196" spans="1:16" x14ac:dyDescent="0.25">
      <c r="B196" s="35" t="str">
        <f>IF(Intro!$G$21="English",O196,P196)</f>
        <v>CARACTÉRISTIQUES DU MARCHÉ DES MARCHANDISES</v>
      </c>
      <c r="C196" s="36"/>
      <c r="D196" s="36"/>
      <c r="E196" s="36"/>
      <c r="F196" s="36"/>
      <c r="G196" s="36"/>
      <c r="H196" s="36"/>
      <c r="I196" s="36"/>
      <c r="J196" s="36"/>
      <c r="K196" s="36"/>
      <c r="L196" s="37"/>
      <c r="M196" s="182"/>
      <c r="O196" s="257" t="s">
        <v>689</v>
      </c>
      <c r="P196" s="257" t="s">
        <v>690</v>
      </c>
    </row>
    <row r="197" spans="1:16" s="3" customFormat="1" x14ac:dyDescent="0.25">
      <c r="A197" s="15"/>
      <c r="B197" s="767" t="s">
        <v>36</v>
      </c>
      <c r="C197" s="768"/>
      <c r="D197" s="768"/>
      <c r="E197" s="768"/>
      <c r="F197" s="768"/>
      <c r="G197" s="768"/>
      <c r="H197" s="768"/>
      <c r="I197" s="768"/>
      <c r="J197" s="768"/>
      <c r="K197" s="768"/>
      <c r="L197" s="769"/>
      <c r="M197" s="216"/>
      <c r="O197" s="176"/>
      <c r="P197" s="176"/>
    </row>
    <row r="198" spans="1:16" s="167" customFormat="1" x14ac:dyDescent="0.25">
      <c r="A198" s="237"/>
      <c r="B198" s="238"/>
      <c r="C198" s="239"/>
      <c r="D198" s="239"/>
      <c r="E198" s="239"/>
      <c r="F198" s="239"/>
      <c r="G198" s="239"/>
      <c r="H198" s="239"/>
      <c r="I198" s="239"/>
      <c r="J198" s="239"/>
      <c r="K198" s="239"/>
      <c r="L198" s="240"/>
      <c r="O198" s="179"/>
      <c r="P198" s="179"/>
    </row>
    <row r="199" spans="1:16" s="167" customFormat="1" x14ac:dyDescent="0.25">
      <c r="A199" s="237"/>
      <c r="B199" s="806" t="str">
        <f>IF(Intro!$G$21="English",O199,P199)</f>
        <v>Indiquez dans quels segments de marché ce produit est vendu.</v>
      </c>
      <c r="C199" s="807"/>
      <c r="D199" s="807"/>
      <c r="E199" s="807"/>
      <c r="F199" s="807"/>
      <c r="G199" s="807"/>
      <c r="H199" s="807"/>
      <c r="I199" s="807"/>
      <c r="J199" s="807"/>
      <c r="K199" s="807"/>
      <c r="L199" s="808"/>
      <c r="O199" s="179" t="s">
        <v>365</v>
      </c>
      <c r="P199" s="179" t="s">
        <v>366</v>
      </c>
    </row>
    <row r="200" spans="1:16" s="167" customFormat="1" x14ac:dyDescent="0.25">
      <c r="A200" s="237"/>
      <c r="B200" s="238"/>
      <c r="C200" s="239"/>
      <c r="D200" s="239"/>
      <c r="E200" s="239"/>
      <c r="F200" s="239"/>
      <c r="G200" s="239"/>
      <c r="H200" s="239"/>
      <c r="I200" s="239"/>
      <c r="J200" s="239"/>
      <c r="K200" s="239"/>
      <c r="L200" s="240"/>
      <c r="O200" s="179"/>
      <c r="P200" s="179"/>
    </row>
    <row r="201" spans="1:16" s="156" customFormat="1" x14ac:dyDescent="0.25">
      <c r="A201" s="46"/>
      <c r="B201" s="776" t="str">
        <f>IF(Intro!$G$21="English",O201,P201)</f>
        <v>Segment de marché 1</v>
      </c>
      <c r="C201" s="777"/>
      <c r="D201" s="777"/>
      <c r="E201" s="652"/>
      <c r="F201" s="652"/>
      <c r="G201" s="652"/>
      <c r="H201" s="652"/>
      <c r="I201" s="652"/>
      <c r="J201" s="652"/>
      <c r="K201" s="652"/>
      <c r="L201" s="653"/>
      <c r="O201" s="179" t="s">
        <v>367</v>
      </c>
      <c r="P201" s="179" t="s">
        <v>368</v>
      </c>
    </row>
    <row r="202" spans="1:16" s="156" customFormat="1" x14ac:dyDescent="0.25">
      <c r="A202" s="46"/>
      <c r="B202" s="776"/>
      <c r="C202" s="777"/>
      <c r="D202" s="777"/>
      <c r="E202" s="652"/>
      <c r="F202" s="652"/>
      <c r="G202" s="652"/>
      <c r="H202" s="652"/>
      <c r="I202" s="652"/>
      <c r="J202" s="652"/>
      <c r="K202" s="652"/>
      <c r="L202" s="653"/>
      <c r="O202" s="179"/>
      <c r="P202" s="179"/>
    </row>
    <row r="203" spans="1:16" s="156" customFormat="1" x14ac:dyDescent="0.25">
      <c r="A203" s="46"/>
      <c r="B203" s="776"/>
      <c r="C203" s="777"/>
      <c r="D203" s="777"/>
      <c r="E203" s="652"/>
      <c r="F203" s="652"/>
      <c r="G203" s="652"/>
      <c r="H203" s="652"/>
      <c r="I203" s="652"/>
      <c r="J203" s="652"/>
      <c r="K203" s="652"/>
      <c r="L203" s="653"/>
      <c r="O203" s="179"/>
      <c r="P203" s="179"/>
    </row>
    <row r="204" spans="1:16" s="156" customFormat="1" x14ac:dyDescent="0.25">
      <c r="A204" s="46"/>
      <c r="B204" s="776"/>
      <c r="C204" s="777"/>
      <c r="D204" s="777"/>
      <c r="E204" s="652"/>
      <c r="F204" s="652"/>
      <c r="G204" s="652"/>
      <c r="H204" s="652"/>
      <c r="I204" s="652"/>
      <c r="J204" s="652"/>
      <c r="K204" s="652"/>
      <c r="L204" s="653"/>
      <c r="O204" s="179"/>
      <c r="P204" s="179"/>
    </row>
    <row r="205" spans="1:16" s="156" customFormat="1" x14ac:dyDescent="0.25">
      <c r="A205" s="46"/>
      <c r="B205" s="776"/>
      <c r="C205" s="777"/>
      <c r="D205" s="777"/>
      <c r="E205" s="652"/>
      <c r="F205" s="652"/>
      <c r="G205" s="652"/>
      <c r="H205" s="652"/>
      <c r="I205" s="652"/>
      <c r="J205" s="652"/>
      <c r="K205" s="652"/>
      <c r="L205" s="653"/>
      <c r="O205" s="179"/>
      <c r="P205" s="179"/>
    </row>
    <row r="206" spans="1:16" s="156" customFormat="1" x14ac:dyDescent="0.25">
      <c r="A206" s="46"/>
      <c r="B206" s="776" t="str">
        <f>IF(Intro!$G$21="English",O206,P206)</f>
        <v>Segment de marché 2</v>
      </c>
      <c r="C206" s="777"/>
      <c r="D206" s="777"/>
      <c r="E206" s="652"/>
      <c r="F206" s="652"/>
      <c r="G206" s="652"/>
      <c r="H206" s="652"/>
      <c r="I206" s="652"/>
      <c r="J206" s="652"/>
      <c r="K206" s="652"/>
      <c r="L206" s="653"/>
      <c r="O206" s="179" t="s">
        <v>369</v>
      </c>
      <c r="P206" s="179" t="s">
        <v>370</v>
      </c>
    </row>
    <row r="207" spans="1:16" s="156" customFormat="1" x14ac:dyDescent="0.25">
      <c r="A207" s="46"/>
      <c r="B207" s="776"/>
      <c r="C207" s="777"/>
      <c r="D207" s="777"/>
      <c r="E207" s="652"/>
      <c r="F207" s="652"/>
      <c r="G207" s="652"/>
      <c r="H207" s="652"/>
      <c r="I207" s="652"/>
      <c r="J207" s="652"/>
      <c r="K207" s="652"/>
      <c r="L207" s="653"/>
      <c r="O207" s="179"/>
      <c r="P207" s="179"/>
    </row>
    <row r="208" spans="1:16" s="156" customFormat="1" x14ac:dyDescent="0.25">
      <c r="A208" s="46"/>
      <c r="B208" s="776"/>
      <c r="C208" s="777"/>
      <c r="D208" s="777"/>
      <c r="E208" s="652"/>
      <c r="F208" s="652"/>
      <c r="G208" s="652"/>
      <c r="H208" s="652"/>
      <c r="I208" s="652"/>
      <c r="J208" s="652"/>
      <c r="K208" s="652"/>
      <c r="L208" s="653"/>
      <c r="O208" s="179"/>
      <c r="P208" s="179"/>
    </row>
    <row r="209" spans="1:16" s="156" customFormat="1" x14ac:dyDescent="0.25">
      <c r="A209" s="46"/>
      <c r="B209" s="776"/>
      <c r="C209" s="777"/>
      <c r="D209" s="777"/>
      <c r="E209" s="652"/>
      <c r="F209" s="652"/>
      <c r="G209" s="652"/>
      <c r="H209" s="652"/>
      <c r="I209" s="652"/>
      <c r="J209" s="652"/>
      <c r="K209" s="652"/>
      <c r="L209" s="653"/>
      <c r="O209" s="179"/>
      <c r="P209" s="179"/>
    </row>
    <row r="210" spans="1:16" s="156" customFormat="1" x14ac:dyDescent="0.25">
      <c r="A210" s="46"/>
      <c r="B210" s="776"/>
      <c r="C210" s="777"/>
      <c r="D210" s="777"/>
      <c r="E210" s="652"/>
      <c r="F210" s="652"/>
      <c r="G210" s="652"/>
      <c r="H210" s="652"/>
      <c r="I210" s="652"/>
      <c r="J210" s="652"/>
      <c r="K210" s="652"/>
      <c r="L210" s="653"/>
    </row>
    <row r="211" spans="1:16" s="156" customFormat="1" x14ac:dyDescent="0.25">
      <c r="A211" s="46"/>
      <c r="B211" s="776" t="str">
        <f>IF(Intro!$G$21="English",O211,P211)</f>
        <v>Segment de marché 3</v>
      </c>
      <c r="C211" s="777"/>
      <c r="D211" s="777"/>
      <c r="E211" s="652"/>
      <c r="F211" s="652"/>
      <c r="G211" s="652"/>
      <c r="H211" s="652"/>
      <c r="I211" s="652"/>
      <c r="J211" s="652"/>
      <c r="K211" s="652"/>
      <c r="L211" s="653"/>
      <c r="O211" s="179" t="s">
        <v>371</v>
      </c>
      <c r="P211" s="179" t="s">
        <v>372</v>
      </c>
    </row>
    <row r="212" spans="1:16" s="156" customFormat="1" x14ac:dyDescent="0.25">
      <c r="A212" s="46"/>
      <c r="B212" s="776"/>
      <c r="C212" s="777"/>
      <c r="D212" s="777"/>
      <c r="E212" s="652"/>
      <c r="F212" s="652"/>
      <c r="G212" s="652"/>
      <c r="H212" s="652"/>
      <c r="I212" s="652"/>
      <c r="J212" s="652"/>
      <c r="K212" s="652"/>
      <c r="L212" s="653"/>
      <c r="O212" s="179"/>
      <c r="P212" s="179"/>
    </row>
    <row r="213" spans="1:16" s="156" customFormat="1" x14ac:dyDescent="0.25">
      <c r="A213" s="46"/>
      <c r="B213" s="776"/>
      <c r="C213" s="777"/>
      <c r="D213" s="777"/>
      <c r="E213" s="652"/>
      <c r="F213" s="652"/>
      <c r="G213" s="652"/>
      <c r="H213" s="652"/>
      <c r="I213" s="652"/>
      <c r="J213" s="652"/>
      <c r="K213" s="652"/>
      <c r="L213" s="653"/>
      <c r="O213" s="179"/>
      <c r="P213" s="179"/>
    </row>
    <row r="214" spans="1:16" s="156" customFormat="1" x14ac:dyDescent="0.25">
      <c r="A214" s="46"/>
      <c r="B214" s="776"/>
      <c r="C214" s="777"/>
      <c r="D214" s="777"/>
      <c r="E214" s="652"/>
      <c r="F214" s="652"/>
      <c r="G214" s="652"/>
      <c r="H214" s="652"/>
      <c r="I214" s="652"/>
      <c r="J214" s="652"/>
      <c r="K214" s="652"/>
      <c r="L214" s="653"/>
      <c r="O214" s="179"/>
      <c r="P214" s="179"/>
    </row>
    <row r="215" spans="1:16" s="156" customFormat="1" x14ac:dyDescent="0.25">
      <c r="A215" s="46"/>
      <c r="B215" s="776"/>
      <c r="C215" s="777"/>
      <c r="D215" s="777"/>
      <c r="E215" s="652"/>
      <c r="F215" s="652"/>
      <c r="G215" s="652"/>
      <c r="H215" s="652"/>
      <c r="I215" s="652"/>
      <c r="J215" s="652"/>
      <c r="K215" s="652"/>
      <c r="L215" s="653"/>
      <c r="O215" s="179"/>
      <c r="P215" s="179"/>
    </row>
    <row r="216" spans="1:16" s="167" customFormat="1" x14ac:dyDescent="0.25">
      <c r="A216" s="237"/>
      <c r="B216" s="241"/>
      <c r="C216" s="242"/>
      <c r="D216" s="242"/>
      <c r="E216" s="242"/>
      <c r="F216" s="242"/>
      <c r="G216" s="242"/>
      <c r="H216" s="242"/>
      <c r="I216" s="242"/>
      <c r="J216" s="242"/>
      <c r="K216" s="242"/>
      <c r="L216" s="243"/>
      <c r="O216" s="179"/>
      <c r="P216" s="179"/>
    </row>
    <row r="217" spans="1:16" s="3" customFormat="1" x14ac:dyDescent="0.25">
      <c r="A217" s="15"/>
      <c r="B217" s="767" t="s">
        <v>37</v>
      </c>
      <c r="C217" s="768"/>
      <c r="D217" s="768"/>
      <c r="E217" s="768"/>
      <c r="F217" s="768"/>
      <c r="G217" s="768"/>
      <c r="H217" s="768"/>
      <c r="I217" s="768"/>
      <c r="J217" s="768"/>
      <c r="K217" s="768"/>
      <c r="L217" s="769"/>
      <c r="M217" s="216"/>
      <c r="O217" s="176"/>
      <c r="P217" s="176"/>
    </row>
    <row r="218" spans="1:16" s="182" customFormat="1" x14ac:dyDescent="0.25">
      <c r="A218" s="204"/>
      <c r="B218" s="220"/>
      <c r="C218" s="221"/>
      <c r="D218" s="221"/>
      <c r="E218" s="221"/>
      <c r="F218" s="221"/>
      <c r="G218" s="221"/>
      <c r="H218" s="221"/>
      <c r="I218" s="221"/>
      <c r="J218" s="221"/>
      <c r="K218" s="221"/>
      <c r="L218" s="206"/>
      <c r="O218" s="178"/>
      <c r="P218" s="178"/>
    </row>
    <row r="219" spans="1:16" s="182" customFormat="1" x14ac:dyDescent="0.25">
      <c r="A219" s="204"/>
      <c r="B219" s="694" t="str">
        <f>IF(Intro!$G$21="English",O219,P219)</f>
        <v>Décrivez s'il y a une saisonnalité sur le marché canadien pour les marchandises. Décrivez toute variation saisonnière de la production, du volume des stocks ou des ventes de la production de votre entreprise au Canada.</v>
      </c>
      <c r="C219" s="695"/>
      <c r="D219" s="695"/>
      <c r="E219" s="695"/>
      <c r="F219" s="695"/>
      <c r="G219" s="695"/>
      <c r="H219" s="695"/>
      <c r="I219" s="695"/>
      <c r="J219" s="695"/>
      <c r="K219" s="695"/>
      <c r="L219" s="696"/>
      <c r="O219" s="178" t="s">
        <v>403</v>
      </c>
      <c r="P219" s="178" t="s">
        <v>404</v>
      </c>
    </row>
    <row r="220" spans="1:16" s="182" customFormat="1" x14ac:dyDescent="0.25">
      <c r="A220" s="204"/>
      <c r="B220" s="694"/>
      <c r="C220" s="695"/>
      <c r="D220" s="695"/>
      <c r="E220" s="695"/>
      <c r="F220" s="695"/>
      <c r="G220" s="695"/>
      <c r="H220" s="695"/>
      <c r="I220" s="695"/>
      <c r="J220" s="695"/>
      <c r="K220" s="695"/>
      <c r="L220" s="696"/>
      <c r="O220" s="178"/>
      <c r="P220" s="178"/>
    </row>
    <row r="221" spans="1:16" s="182" customFormat="1" x14ac:dyDescent="0.25">
      <c r="A221" s="204"/>
      <c r="B221" s="220"/>
      <c r="C221" s="221"/>
      <c r="D221" s="221"/>
      <c r="E221" s="221"/>
      <c r="F221" s="221"/>
      <c r="G221" s="221"/>
      <c r="H221" s="221"/>
      <c r="I221" s="221"/>
      <c r="J221" s="221"/>
      <c r="K221" s="221"/>
      <c r="L221" s="206"/>
      <c r="O221" s="178"/>
      <c r="P221" s="178"/>
    </row>
    <row r="222" spans="1:16" s="3" customFormat="1" x14ac:dyDescent="0.25">
      <c r="A222" s="15"/>
      <c r="B222" s="773"/>
      <c r="C222" s="774"/>
      <c r="D222" s="774"/>
      <c r="E222" s="774"/>
      <c r="F222" s="774"/>
      <c r="G222" s="774"/>
      <c r="H222" s="774"/>
      <c r="I222" s="774"/>
      <c r="J222" s="774"/>
      <c r="K222" s="774"/>
      <c r="L222" s="775"/>
      <c r="M222" s="182"/>
      <c r="O222" s="176"/>
      <c r="P222" s="176"/>
    </row>
    <row r="223" spans="1:16" s="3" customFormat="1" x14ac:dyDescent="0.25">
      <c r="A223" s="15"/>
      <c r="B223" s="773"/>
      <c r="C223" s="774"/>
      <c r="D223" s="774"/>
      <c r="E223" s="774"/>
      <c r="F223" s="774"/>
      <c r="G223" s="774"/>
      <c r="H223" s="774"/>
      <c r="I223" s="774"/>
      <c r="J223" s="774"/>
      <c r="K223" s="774"/>
      <c r="L223" s="775"/>
      <c r="M223" s="182"/>
      <c r="O223" s="176"/>
      <c r="P223" s="176"/>
    </row>
    <row r="224" spans="1:16" s="3" customFormat="1" x14ac:dyDescent="0.25">
      <c r="A224" s="15"/>
      <c r="B224" s="773"/>
      <c r="C224" s="774"/>
      <c r="D224" s="774"/>
      <c r="E224" s="774"/>
      <c r="F224" s="774"/>
      <c r="G224" s="774"/>
      <c r="H224" s="774"/>
      <c r="I224" s="774"/>
      <c r="J224" s="774"/>
      <c r="K224" s="774"/>
      <c r="L224" s="775"/>
      <c r="M224" s="182"/>
      <c r="O224" s="176"/>
      <c r="P224" s="176"/>
    </row>
    <row r="225" spans="1:16" s="3" customFormat="1" x14ac:dyDescent="0.25">
      <c r="A225" s="15"/>
      <c r="B225" s="773"/>
      <c r="C225" s="774"/>
      <c r="D225" s="774"/>
      <c r="E225" s="774"/>
      <c r="F225" s="774"/>
      <c r="G225" s="774"/>
      <c r="H225" s="774"/>
      <c r="I225" s="774"/>
      <c r="J225" s="774"/>
      <c r="K225" s="774"/>
      <c r="L225" s="775"/>
      <c r="M225" s="182"/>
      <c r="O225" s="176"/>
      <c r="P225" s="176"/>
    </row>
    <row r="226" spans="1:16" s="3" customFormat="1" x14ac:dyDescent="0.25">
      <c r="A226" s="15"/>
      <c r="B226" s="773"/>
      <c r="C226" s="774"/>
      <c r="D226" s="774"/>
      <c r="E226" s="774"/>
      <c r="F226" s="774"/>
      <c r="G226" s="774"/>
      <c r="H226" s="774"/>
      <c r="I226" s="774"/>
      <c r="J226" s="774"/>
      <c r="K226" s="774"/>
      <c r="L226" s="775"/>
      <c r="M226" s="182"/>
      <c r="O226" s="176"/>
      <c r="P226" s="176"/>
    </row>
    <row r="227" spans="1:16" s="3" customFormat="1" x14ac:dyDescent="0.25">
      <c r="A227" s="15"/>
      <c r="B227" s="773"/>
      <c r="C227" s="774"/>
      <c r="D227" s="774"/>
      <c r="E227" s="774"/>
      <c r="F227" s="774"/>
      <c r="G227" s="774"/>
      <c r="H227" s="774"/>
      <c r="I227" s="774"/>
      <c r="J227" s="774"/>
      <c r="K227" s="774"/>
      <c r="L227" s="775"/>
      <c r="M227" s="182"/>
      <c r="O227" s="176"/>
      <c r="P227" s="176"/>
    </row>
    <row r="228" spans="1:16" s="3" customFormat="1" x14ac:dyDescent="0.25">
      <c r="A228" s="15"/>
      <c r="B228" s="773"/>
      <c r="C228" s="774"/>
      <c r="D228" s="774"/>
      <c r="E228" s="774"/>
      <c r="F228" s="774"/>
      <c r="G228" s="774"/>
      <c r="H228" s="774"/>
      <c r="I228" s="774"/>
      <c r="J228" s="774"/>
      <c r="K228" s="774"/>
      <c r="L228" s="775"/>
      <c r="M228" s="182"/>
      <c r="O228" s="176"/>
      <c r="P228" s="176"/>
    </row>
    <row r="229" spans="1:16" s="3" customFormat="1" x14ac:dyDescent="0.25">
      <c r="A229" s="15"/>
      <c r="B229" s="773"/>
      <c r="C229" s="774"/>
      <c r="D229" s="774"/>
      <c r="E229" s="774"/>
      <c r="F229" s="774"/>
      <c r="G229" s="774"/>
      <c r="H229" s="774"/>
      <c r="I229" s="774"/>
      <c r="J229" s="774"/>
      <c r="K229" s="774"/>
      <c r="L229" s="775"/>
      <c r="M229" s="182"/>
      <c r="O229" s="176"/>
      <c r="P229" s="176"/>
    </row>
    <row r="230" spans="1:16" s="182" customFormat="1" x14ac:dyDescent="0.25">
      <c r="A230" s="204"/>
      <c r="B230" s="223"/>
      <c r="C230" s="224"/>
      <c r="D230" s="224"/>
      <c r="E230" s="224"/>
      <c r="F230" s="224"/>
      <c r="G230" s="224"/>
      <c r="H230" s="224"/>
      <c r="I230" s="224"/>
      <c r="J230" s="224"/>
      <c r="K230" s="224"/>
      <c r="L230" s="222"/>
      <c r="O230" s="178"/>
      <c r="P230" s="178"/>
    </row>
    <row r="231" spans="1:16" s="3" customFormat="1" x14ac:dyDescent="0.25">
      <c r="A231" s="15"/>
      <c r="B231" s="767" t="s">
        <v>38</v>
      </c>
      <c r="C231" s="768"/>
      <c r="D231" s="768"/>
      <c r="E231" s="768"/>
      <c r="F231" s="768"/>
      <c r="G231" s="768"/>
      <c r="H231" s="768"/>
      <c r="I231" s="768"/>
      <c r="J231" s="768"/>
      <c r="K231" s="768"/>
      <c r="L231" s="769"/>
      <c r="M231" s="216"/>
      <c r="O231" s="176"/>
      <c r="P231" s="176"/>
    </row>
    <row r="232" spans="1:16" s="182" customFormat="1" x14ac:dyDescent="0.25">
      <c r="A232" s="204"/>
      <c r="B232" s="220"/>
      <c r="C232" s="221"/>
      <c r="D232" s="221"/>
      <c r="E232" s="221"/>
      <c r="F232" s="221"/>
      <c r="G232" s="221"/>
      <c r="H232" s="221"/>
      <c r="I232" s="221"/>
      <c r="J232" s="221"/>
      <c r="K232" s="221"/>
      <c r="L232" s="206"/>
      <c r="O232" s="178"/>
      <c r="P232" s="178"/>
    </row>
    <row r="233" spans="1:16" s="182" customFormat="1" x14ac:dyDescent="0.25">
      <c r="A233" s="204"/>
      <c r="B233" s="694" t="str">
        <f>IF(Intro!$G$21="English",O233,P233)</f>
        <v>Quels ont été les principaux facteurs affectant la demande du produit depuis le 1er janvier 2022 (par exemple, les préférences des utilisateurs, la politique gouvernementale, les conditions économiques, le taux de change)?</v>
      </c>
      <c r="C233" s="695"/>
      <c r="D233" s="695"/>
      <c r="E233" s="695"/>
      <c r="F233" s="695"/>
      <c r="G233" s="695"/>
      <c r="H233" s="695"/>
      <c r="I233" s="695"/>
      <c r="J233" s="695"/>
      <c r="K233" s="695"/>
      <c r="L233" s="696"/>
      <c r="O233" s="178" t="str">
        <f>"What have been the principal factors affecting the demand for the goods since January 1, "&amp;Variables!B6&amp;" (e.g., user preferences, government policy, economic conditions, exchange rate)?"</f>
        <v>What have been the principal factors affecting the demand for the goods since January 1, 2022 (e.g., user preferences, government policy, economic conditions, exchange rate)?</v>
      </c>
      <c r="P233" s="178" t="str">
        <f>"Quels ont été les principaux facteurs affectant la demande du produit depuis le 1er janvier "&amp;Variables!B6&amp;" (par exemple, les préférences des utilisateurs, la politique gouvernementale, les conditions économiques, le taux de change)?"</f>
        <v>Quels ont été les principaux facteurs affectant la demande du produit depuis le 1er janvier 2022 (par exemple, les préférences des utilisateurs, la politique gouvernementale, les conditions économiques, le taux de change)?</v>
      </c>
    </row>
    <row r="234" spans="1:16" s="182" customFormat="1" x14ac:dyDescent="0.25">
      <c r="A234" s="204"/>
      <c r="B234" s="694"/>
      <c r="C234" s="695"/>
      <c r="D234" s="695"/>
      <c r="E234" s="695"/>
      <c r="F234" s="695"/>
      <c r="G234" s="695"/>
      <c r="H234" s="695"/>
      <c r="I234" s="695"/>
      <c r="J234" s="695"/>
      <c r="K234" s="695"/>
      <c r="L234" s="696"/>
      <c r="O234" s="178"/>
      <c r="P234" s="178"/>
    </row>
    <row r="235" spans="1:16" s="182" customFormat="1" x14ac:dyDescent="0.25">
      <c r="A235" s="204"/>
      <c r="B235" s="220"/>
      <c r="C235" s="221"/>
      <c r="D235" s="221"/>
      <c r="E235" s="221"/>
      <c r="F235" s="221"/>
      <c r="G235" s="221"/>
      <c r="H235" s="221"/>
      <c r="I235" s="221"/>
      <c r="J235" s="221"/>
      <c r="K235" s="221"/>
      <c r="L235" s="206"/>
      <c r="O235" s="178"/>
      <c r="P235" s="178"/>
    </row>
    <row r="236" spans="1:16" s="3" customFormat="1" x14ac:dyDescent="0.25">
      <c r="A236" s="15"/>
      <c r="B236" s="773"/>
      <c r="C236" s="774"/>
      <c r="D236" s="774"/>
      <c r="E236" s="774"/>
      <c r="F236" s="774"/>
      <c r="G236" s="774"/>
      <c r="H236" s="774"/>
      <c r="I236" s="774"/>
      <c r="J236" s="774"/>
      <c r="K236" s="774"/>
      <c r="L236" s="775"/>
      <c r="M236" s="182"/>
      <c r="O236" s="176"/>
      <c r="P236" s="176"/>
    </row>
    <row r="237" spans="1:16" s="3" customFormat="1" x14ac:dyDescent="0.25">
      <c r="A237" s="15"/>
      <c r="B237" s="773"/>
      <c r="C237" s="774"/>
      <c r="D237" s="774"/>
      <c r="E237" s="774"/>
      <c r="F237" s="774"/>
      <c r="G237" s="774"/>
      <c r="H237" s="774"/>
      <c r="I237" s="774"/>
      <c r="J237" s="774"/>
      <c r="K237" s="774"/>
      <c r="L237" s="775"/>
      <c r="M237" s="182"/>
      <c r="O237" s="176"/>
      <c r="P237" s="176"/>
    </row>
    <row r="238" spans="1:16" s="3" customFormat="1" x14ac:dyDescent="0.25">
      <c r="A238" s="15"/>
      <c r="B238" s="773"/>
      <c r="C238" s="774"/>
      <c r="D238" s="774"/>
      <c r="E238" s="774"/>
      <c r="F238" s="774"/>
      <c r="G238" s="774"/>
      <c r="H238" s="774"/>
      <c r="I238" s="774"/>
      <c r="J238" s="774"/>
      <c r="K238" s="774"/>
      <c r="L238" s="775"/>
      <c r="M238" s="182"/>
      <c r="O238" s="176"/>
      <c r="P238" s="176"/>
    </row>
    <row r="239" spans="1:16" s="3" customFormat="1" x14ac:dyDescent="0.25">
      <c r="A239" s="15"/>
      <c r="B239" s="773"/>
      <c r="C239" s="774"/>
      <c r="D239" s="774"/>
      <c r="E239" s="774"/>
      <c r="F239" s="774"/>
      <c r="G239" s="774"/>
      <c r="H239" s="774"/>
      <c r="I239" s="774"/>
      <c r="J239" s="774"/>
      <c r="K239" s="774"/>
      <c r="L239" s="775"/>
      <c r="M239" s="182"/>
      <c r="O239" s="176"/>
      <c r="P239" s="176"/>
    </row>
    <row r="240" spans="1:16" s="3" customFormat="1" x14ac:dyDescent="0.25">
      <c r="A240" s="15"/>
      <c r="B240" s="773"/>
      <c r="C240" s="774"/>
      <c r="D240" s="774"/>
      <c r="E240" s="774"/>
      <c r="F240" s="774"/>
      <c r="G240" s="774"/>
      <c r="H240" s="774"/>
      <c r="I240" s="774"/>
      <c r="J240" s="774"/>
      <c r="K240" s="774"/>
      <c r="L240" s="775"/>
      <c r="M240" s="182"/>
      <c r="O240" s="176"/>
      <c r="P240" s="176"/>
    </row>
    <row r="241" spans="1:16" s="3" customFormat="1" x14ac:dyDescent="0.25">
      <c r="A241" s="15"/>
      <c r="B241" s="773"/>
      <c r="C241" s="774"/>
      <c r="D241" s="774"/>
      <c r="E241" s="774"/>
      <c r="F241" s="774"/>
      <c r="G241" s="774"/>
      <c r="H241" s="774"/>
      <c r="I241" s="774"/>
      <c r="J241" s="774"/>
      <c r="K241" s="774"/>
      <c r="L241" s="775"/>
      <c r="M241" s="182"/>
      <c r="O241" s="176"/>
      <c r="P241" s="176"/>
    </row>
    <row r="242" spans="1:16" s="3" customFormat="1" x14ac:dyDescent="0.25">
      <c r="A242" s="15"/>
      <c r="B242" s="773"/>
      <c r="C242" s="774"/>
      <c r="D242" s="774"/>
      <c r="E242" s="774"/>
      <c r="F242" s="774"/>
      <c r="G242" s="774"/>
      <c r="H242" s="774"/>
      <c r="I242" s="774"/>
      <c r="J242" s="774"/>
      <c r="K242" s="774"/>
      <c r="L242" s="775"/>
      <c r="M242" s="182"/>
      <c r="O242" s="176"/>
      <c r="P242" s="176"/>
    </row>
    <row r="243" spans="1:16" s="3" customFormat="1" x14ac:dyDescent="0.25">
      <c r="A243" s="15"/>
      <c r="B243" s="773"/>
      <c r="C243" s="774"/>
      <c r="D243" s="774"/>
      <c r="E243" s="774"/>
      <c r="F243" s="774"/>
      <c r="G243" s="774"/>
      <c r="H243" s="774"/>
      <c r="I243" s="774"/>
      <c r="J243" s="774"/>
      <c r="K243" s="774"/>
      <c r="L243" s="775"/>
      <c r="M243" s="182"/>
      <c r="O243" s="176"/>
      <c r="P243" s="176"/>
    </row>
    <row r="244" spans="1:16" s="182" customFormat="1" x14ac:dyDescent="0.25">
      <c r="A244" s="204"/>
      <c r="B244" s="223"/>
      <c r="C244" s="224"/>
      <c r="D244" s="224"/>
      <c r="E244" s="224"/>
      <c r="F244" s="224"/>
      <c r="G244" s="224"/>
      <c r="H244" s="224"/>
      <c r="I244" s="224"/>
      <c r="J244" s="224"/>
      <c r="K244" s="224"/>
      <c r="L244" s="222"/>
      <c r="O244" s="178"/>
      <c r="P244" s="178"/>
    </row>
    <row r="245" spans="1:16" s="3" customFormat="1" x14ac:dyDescent="0.25">
      <c r="A245" s="15"/>
      <c r="B245" s="767" t="s">
        <v>39</v>
      </c>
      <c r="C245" s="768"/>
      <c r="D245" s="768"/>
      <c r="E245" s="768"/>
      <c r="F245" s="768"/>
      <c r="G245" s="768"/>
      <c r="H245" s="768"/>
      <c r="I245" s="768"/>
      <c r="J245" s="768"/>
      <c r="K245" s="768"/>
      <c r="L245" s="769"/>
      <c r="M245" s="216"/>
      <c r="O245" s="176"/>
      <c r="P245" s="176"/>
    </row>
    <row r="246" spans="1:16" s="182" customFormat="1" x14ac:dyDescent="0.25">
      <c r="A246" s="204"/>
      <c r="B246" s="220"/>
      <c r="C246" s="221"/>
      <c r="D246" s="221"/>
      <c r="E246" s="221"/>
      <c r="F246" s="221"/>
      <c r="G246" s="221"/>
      <c r="H246" s="221"/>
      <c r="I246" s="221"/>
      <c r="J246" s="221"/>
      <c r="K246" s="221"/>
      <c r="L246" s="206"/>
      <c r="O246" s="178"/>
      <c r="P246" s="178"/>
    </row>
    <row r="247" spans="1:16" s="182" customFormat="1" x14ac:dyDescent="0.25">
      <c r="A247" s="204"/>
      <c r="B247" s="778" t="str">
        <f>IF(Intro!$G$21="English",O247,P247)</f>
        <v>Décrivez tout changement technologique qui a eu une incidence sur le marché canadien des marchandises depuis le 1er janvier 2022.</v>
      </c>
      <c r="C247" s="779"/>
      <c r="D247" s="779"/>
      <c r="E247" s="779"/>
      <c r="F247" s="779"/>
      <c r="G247" s="779"/>
      <c r="H247" s="779"/>
      <c r="I247" s="779"/>
      <c r="J247" s="779"/>
      <c r="K247" s="779"/>
      <c r="L247" s="780"/>
      <c r="O247" s="178" t="str">
        <f>"Describe any changes in technology that have impacted the Canadian market for the goods since January 1, "&amp;Variables!B6&amp;"."</f>
        <v>Describe any changes in technology that have impacted the Canadian market for the goods since January 1, 2022.</v>
      </c>
      <c r="P247" s="17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2022.</v>
      </c>
    </row>
    <row r="248" spans="1:16" s="182" customFormat="1" x14ac:dyDescent="0.25">
      <c r="A248" s="204"/>
      <c r="B248" s="220"/>
      <c r="C248" s="221"/>
      <c r="D248" s="221"/>
      <c r="E248" s="221"/>
      <c r="F248" s="221"/>
      <c r="G248" s="221"/>
      <c r="H248" s="221"/>
      <c r="I248" s="221"/>
      <c r="J248" s="221"/>
      <c r="K248" s="221"/>
      <c r="L248" s="206"/>
      <c r="O248" s="178"/>
      <c r="P248" s="178"/>
    </row>
    <row r="249" spans="1:16" s="3" customFormat="1" x14ac:dyDescent="0.25">
      <c r="A249" s="15"/>
      <c r="B249" s="773"/>
      <c r="C249" s="774"/>
      <c r="D249" s="774"/>
      <c r="E249" s="774"/>
      <c r="F249" s="774"/>
      <c r="G249" s="774"/>
      <c r="H249" s="774"/>
      <c r="I249" s="774"/>
      <c r="J249" s="774"/>
      <c r="K249" s="774"/>
      <c r="L249" s="775"/>
      <c r="M249" s="182"/>
      <c r="O249" s="176"/>
      <c r="P249" s="176"/>
    </row>
    <row r="250" spans="1:16" s="3" customFormat="1" x14ac:dyDescent="0.25">
      <c r="A250" s="15"/>
      <c r="B250" s="773"/>
      <c r="C250" s="774"/>
      <c r="D250" s="774"/>
      <c r="E250" s="774"/>
      <c r="F250" s="774"/>
      <c r="G250" s="774"/>
      <c r="H250" s="774"/>
      <c r="I250" s="774"/>
      <c r="J250" s="774"/>
      <c r="K250" s="774"/>
      <c r="L250" s="775"/>
      <c r="M250" s="182"/>
      <c r="O250" s="176"/>
      <c r="P250" s="176"/>
    </row>
    <row r="251" spans="1:16" s="3" customFormat="1" x14ac:dyDescent="0.25">
      <c r="A251" s="15"/>
      <c r="B251" s="773"/>
      <c r="C251" s="774"/>
      <c r="D251" s="774"/>
      <c r="E251" s="774"/>
      <c r="F251" s="774"/>
      <c r="G251" s="774"/>
      <c r="H251" s="774"/>
      <c r="I251" s="774"/>
      <c r="J251" s="774"/>
      <c r="K251" s="774"/>
      <c r="L251" s="775"/>
      <c r="M251" s="182"/>
      <c r="O251" s="176"/>
      <c r="P251" s="176"/>
    </row>
    <row r="252" spans="1:16" s="3" customFormat="1" x14ac:dyDescent="0.25">
      <c r="A252" s="15"/>
      <c r="B252" s="773"/>
      <c r="C252" s="774"/>
      <c r="D252" s="774"/>
      <c r="E252" s="774"/>
      <c r="F252" s="774"/>
      <c r="G252" s="774"/>
      <c r="H252" s="774"/>
      <c r="I252" s="774"/>
      <c r="J252" s="774"/>
      <c r="K252" s="774"/>
      <c r="L252" s="775"/>
      <c r="M252" s="182"/>
      <c r="O252" s="176"/>
      <c r="P252" s="176"/>
    </row>
    <row r="253" spans="1:16" s="3" customFormat="1" x14ac:dyDescent="0.25">
      <c r="A253" s="15"/>
      <c r="B253" s="773"/>
      <c r="C253" s="774"/>
      <c r="D253" s="774"/>
      <c r="E253" s="774"/>
      <c r="F253" s="774"/>
      <c r="G253" s="774"/>
      <c r="H253" s="774"/>
      <c r="I253" s="774"/>
      <c r="J253" s="774"/>
      <c r="K253" s="774"/>
      <c r="L253" s="775"/>
      <c r="M253" s="182"/>
      <c r="O253" s="176"/>
      <c r="P253" s="176"/>
    </row>
    <row r="254" spans="1:16" s="3" customFormat="1" x14ac:dyDescent="0.25">
      <c r="A254" s="15"/>
      <c r="B254" s="773"/>
      <c r="C254" s="774"/>
      <c r="D254" s="774"/>
      <c r="E254" s="774"/>
      <c r="F254" s="774"/>
      <c r="G254" s="774"/>
      <c r="H254" s="774"/>
      <c r="I254" s="774"/>
      <c r="J254" s="774"/>
      <c r="K254" s="774"/>
      <c r="L254" s="775"/>
      <c r="M254" s="182"/>
      <c r="O254" s="176"/>
      <c r="P254" s="176"/>
    </row>
    <row r="255" spans="1:16" s="3" customFormat="1" x14ac:dyDescent="0.25">
      <c r="A255" s="15"/>
      <c r="B255" s="773"/>
      <c r="C255" s="774"/>
      <c r="D255" s="774"/>
      <c r="E255" s="774"/>
      <c r="F255" s="774"/>
      <c r="G255" s="774"/>
      <c r="H255" s="774"/>
      <c r="I255" s="774"/>
      <c r="J255" s="774"/>
      <c r="K255" s="774"/>
      <c r="L255" s="775"/>
      <c r="M255" s="182"/>
      <c r="O255" s="176"/>
      <c r="P255" s="176"/>
    </row>
    <row r="256" spans="1:16" s="3" customFormat="1" x14ac:dyDescent="0.25">
      <c r="A256" s="15"/>
      <c r="B256" s="773"/>
      <c r="C256" s="774"/>
      <c r="D256" s="774"/>
      <c r="E256" s="774"/>
      <c r="F256" s="774"/>
      <c r="G256" s="774"/>
      <c r="H256" s="774"/>
      <c r="I256" s="774"/>
      <c r="J256" s="774"/>
      <c r="K256" s="774"/>
      <c r="L256" s="775"/>
      <c r="M256" s="182"/>
      <c r="O256" s="176"/>
      <c r="P256" s="176"/>
    </row>
    <row r="257" spans="1:16" s="182" customFormat="1" x14ac:dyDescent="0.25">
      <c r="A257" s="204"/>
      <c r="B257" s="223"/>
      <c r="C257" s="224"/>
      <c r="D257" s="224"/>
      <c r="E257" s="224"/>
      <c r="F257" s="224"/>
      <c r="G257" s="224"/>
      <c r="H257" s="224"/>
      <c r="I257" s="224"/>
      <c r="J257" s="224"/>
      <c r="K257" s="224"/>
      <c r="L257" s="222"/>
      <c r="O257" s="178"/>
      <c r="P257" s="178"/>
    </row>
    <row r="258" spans="1:16" s="3" customFormat="1" x14ac:dyDescent="0.25">
      <c r="A258" s="15"/>
      <c r="B258" s="767" t="s">
        <v>309</v>
      </c>
      <c r="C258" s="768"/>
      <c r="D258" s="768"/>
      <c r="E258" s="768"/>
      <c r="F258" s="768"/>
      <c r="G258" s="768"/>
      <c r="H258" s="768"/>
      <c r="I258" s="768"/>
      <c r="J258" s="768"/>
      <c r="K258" s="768"/>
      <c r="L258" s="769"/>
      <c r="M258" s="216"/>
      <c r="O258" s="176"/>
      <c r="P258" s="176"/>
    </row>
    <row r="259" spans="1:16" s="182" customFormat="1" x14ac:dyDescent="0.25">
      <c r="A259" s="204"/>
      <c r="B259" s="220"/>
      <c r="C259" s="221"/>
      <c r="D259" s="221"/>
      <c r="E259" s="221"/>
      <c r="F259" s="221"/>
      <c r="G259" s="221"/>
      <c r="H259" s="221"/>
      <c r="I259" s="221"/>
      <c r="J259" s="221"/>
      <c r="K259" s="221"/>
      <c r="L259" s="206"/>
      <c r="O259" s="178"/>
      <c r="P259" s="178"/>
    </row>
    <row r="260" spans="1:16" s="182" customFormat="1" x14ac:dyDescent="0.25">
      <c r="A260" s="204"/>
      <c r="B260" s="694" t="str">
        <f>IF(Intro!$G$21="English",O260,P260)</f>
        <v>Expliquez les circonstances dans lesquelles les acheteurs canadiens sont prêts à payer une prime pour les marchandises produites au Canada. Quel serait le montant de cette prime?</v>
      </c>
      <c r="C260" s="695"/>
      <c r="D260" s="695"/>
      <c r="E260" s="695"/>
      <c r="F260" s="695"/>
      <c r="G260" s="695"/>
      <c r="H260" s="695"/>
      <c r="I260" s="695"/>
      <c r="J260" s="695"/>
      <c r="K260" s="695"/>
      <c r="L260" s="696"/>
      <c r="O260" s="178" t="s">
        <v>361</v>
      </c>
      <c r="P260" s="178" t="s">
        <v>436</v>
      </c>
    </row>
    <row r="261" spans="1:16" s="182" customFormat="1" x14ac:dyDescent="0.25">
      <c r="A261" s="204"/>
      <c r="B261" s="694"/>
      <c r="C261" s="695"/>
      <c r="D261" s="695"/>
      <c r="E261" s="695"/>
      <c r="F261" s="695"/>
      <c r="G261" s="695"/>
      <c r="H261" s="695"/>
      <c r="I261" s="695"/>
      <c r="J261" s="695"/>
      <c r="K261" s="695"/>
      <c r="L261" s="696"/>
      <c r="O261" s="178"/>
      <c r="P261" s="178"/>
    </row>
    <row r="262" spans="1:16" s="182" customFormat="1" x14ac:dyDescent="0.25">
      <c r="A262" s="204"/>
      <c r="B262" s="220"/>
      <c r="C262" s="221"/>
      <c r="D262" s="221"/>
      <c r="E262" s="221"/>
      <c r="F262" s="221"/>
      <c r="G262" s="221"/>
      <c r="H262" s="221"/>
      <c r="I262" s="221"/>
      <c r="J262" s="221"/>
      <c r="K262" s="221"/>
      <c r="L262" s="206"/>
      <c r="O262" s="178"/>
      <c r="P262" s="178"/>
    </row>
    <row r="263" spans="1:16" s="157" customFormat="1" x14ac:dyDescent="0.25">
      <c r="A263" s="200"/>
      <c r="B263" s="650" t="str">
        <f>IF(Intro!$G$21="English",O263,P263)</f>
        <v xml:space="preserve"> Majoration du prix</v>
      </c>
      <c r="C263" s="651"/>
      <c r="D263" s="270" t="s">
        <v>192</v>
      </c>
      <c r="E263" s="271"/>
      <c r="F263" s="221"/>
      <c r="G263" s="221"/>
      <c r="H263" s="221"/>
      <c r="I263" s="221"/>
      <c r="J263" s="221"/>
      <c r="K263" s="221"/>
      <c r="L263" s="206"/>
      <c r="O263" s="178" t="s">
        <v>307</v>
      </c>
      <c r="P263" s="178" t="s">
        <v>308</v>
      </c>
    </row>
    <row r="264" spans="1:16" s="182" customFormat="1" x14ac:dyDescent="0.25">
      <c r="A264" s="204"/>
      <c r="B264" s="220"/>
      <c r="C264" s="221"/>
      <c r="D264" s="221"/>
      <c r="E264" s="221"/>
      <c r="F264" s="221"/>
      <c r="G264" s="221"/>
      <c r="H264" s="221"/>
      <c r="I264" s="221"/>
      <c r="J264" s="221"/>
      <c r="K264" s="221"/>
      <c r="L264" s="206"/>
      <c r="O264" s="178"/>
      <c r="P264" s="178"/>
    </row>
    <row r="265" spans="1:16" s="3" customFormat="1" x14ac:dyDescent="0.25">
      <c r="A265" s="15"/>
      <c r="B265" s="773"/>
      <c r="C265" s="774"/>
      <c r="D265" s="774"/>
      <c r="E265" s="774"/>
      <c r="F265" s="774"/>
      <c r="G265" s="774"/>
      <c r="H265" s="774"/>
      <c r="I265" s="774"/>
      <c r="J265" s="774"/>
      <c r="K265" s="774"/>
      <c r="L265" s="775"/>
      <c r="M265" s="182"/>
      <c r="O265" s="176"/>
      <c r="P265" s="176"/>
    </row>
    <row r="266" spans="1:16" s="3" customFormat="1" x14ac:dyDescent="0.25">
      <c r="A266" s="15"/>
      <c r="B266" s="773"/>
      <c r="C266" s="774"/>
      <c r="D266" s="774"/>
      <c r="E266" s="774"/>
      <c r="F266" s="774"/>
      <c r="G266" s="774"/>
      <c r="H266" s="774"/>
      <c r="I266" s="774"/>
      <c r="J266" s="774"/>
      <c r="K266" s="774"/>
      <c r="L266" s="775"/>
      <c r="M266" s="182"/>
      <c r="O266" s="176"/>
      <c r="P266" s="176"/>
    </row>
    <row r="267" spans="1:16" s="3" customFormat="1" x14ac:dyDescent="0.25">
      <c r="A267" s="15"/>
      <c r="B267" s="773"/>
      <c r="C267" s="774"/>
      <c r="D267" s="774"/>
      <c r="E267" s="774"/>
      <c r="F267" s="774"/>
      <c r="G267" s="774"/>
      <c r="H267" s="774"/>
      <c r="I267" s="774"/>
      <c r="J267" s="774"/>
      <c r="K267" s="774"/>
      <c r="L267" s="775"/>
      <c r="M267" s="182"/>
      <c r="O267" s="176"/>
      <c r="P267" s="176"/>
    </row>
    <row r="268" spans="1:16" s="3" customFormat="1" x14ac:dyDescent="0.25">
      <c r="A268" s="15"/>
      <c r="B268" s="773"/>
      <c r="C268" s="774"/>
      <c r="D268" s="774"/>
      <c r="E268" s="774"/>
      <c r="F268" s="774"/>
      <c r="G268" s="774"/>
      <c r="H268" s="774"/>
      <c r="I268" s="774"/>
      <c r="J268" s="774"/>
      <c r="K268" s="774"/>
      <c r="L268" s="775"/>
      <c r="M268" s="182"/>
      <c r="O268" s="176"/>
      <c r="P268" s="176"/>
    </row>
    <row r="269" spans="1:16" s="3" customFormat="1" x14ac:dyDescent="0.25">
      <c r="A269" s="15"/>
      <c r="B269" s="773"/>
      <c r="C269" s="774"/>
      <c r="D269" s="774"/>
      <c r="E269" s="774"/>
      <c r="F269" s="774"/>
      <c r="G269" s="774"/>
      <c r="H269" s="774"/>
      <c r="I269" s="774"/>
      <c r="J269" s="774"/>
      <c r="K269" s="774"/>
      <c r="L269" s="775"/>
      <c r="M269" s="182"/>
      <c r="O269" s="176"/>
      <c r="P269" s="176"/>
    </row>
    <row r="270" spans="1:16" s="3" customFormat="1" x14ac:dyDescent="0.25">
      <c r="A270" s="15"/>
      <c r="B270" s="773"/>
      <c r="C270" s="774"/>
      <c r="D270" s="774"/>
      <c r="E270" s="774"/>
      <c r="F270" s="774"/>
      <c r="G270" s="774"/>
      <c r="H270" s="774"/>
      <c r="I270" s="774"/>
      <c r="J270" s="774"/>
      <c r="K270" s="774"/>
      <c r="L270" s="775"/>
      <c r="M270" s="182"/>
      <c r="O270" s="176"/>
      <c r="P270" s="176"/>
    </row>
    <row r="271" spans="1:16" s="3" customFormat="1" x14ac:dyDescent="0.25">
      <c r="A271" s="15"/>
      <c r="B271" s="773"/>
      <c r="C271" s="774"/>
      <c r="D271" s="774"/>
      <c r="E271" s="774"/>
      <c r="F271" s="774"/>
      <c r="G271" s="774"/>
      <c r="H271" s="774"/>
      <c r="I271" s="774"/>
      <c r="J271" s="774"/>
      <c r="K271" s="774"/>
      <c r="L271" s="775"/>
      <c r="M271" s="182"/>
      <c r="O271" s="176"/>
      <c r="P271" s="176"/>
    </row>
    <row r="272" spans="1:16" s="3" customFormat="1" x14ac:dyDescent="0.25">
      <c r="A272" s="15"/>
      <c r="B272" s="773"/>
      <c r="C272" s="774"/>
      <c r="D272" s="774"/>
      <c r="E272" s="774"/>
      <c r="F272" s="774"/>
      <c r="G272" s="774"/>
      <c r="H272" s="774"/>
      <c r="I272" s="774"/>
      <c r="J272" s="774"/>
      <c r="K272" s="774"/>
      <c r="L272" s="775"/>
      <c r="M272" s="182"/>
      <c r="O272" s="176"/>
      <c r="P272" s="176"/>
    </row>
    <row r="273" spans="1:16" s="182" customFormat="1" x14ac:dyDescent="0.25">
      <c r="A273" s="204"/>
      <c r="B273" s="223"/>
      <c r="C273" s="224"/>
      <c r="D273" s="224"/>
      <c r="E273" s="224"/>
      <c r="F273" s="224"/>
      <c r="G273" s="224"/>
      <c r="H273" s="224"/>
      <c r="I273" s="224"/>
      <c r="J273" s="224"/>
      <c r="K273" s="224"/>
      <c r="L273" s="222"/>
      <c r="O273" s="178"/>
      <c r="P273" s="178"/>
    </row>
    <row r="274" spans="1:16" s="3" customFormat="1" x14ac:dyDescent="0.25">
      <c r="A274" s="15"/>
      <c r="B274" s="767" t="s">
        <v>310</v>
      </c>
      <c r="C274" s="768"/>
      <c r="D274" s="768"/>
      <c r="E274" s="768"/>
      <c r="F274" s="768"/>
      <c r="G274" s="768"/>
      <c r="H274" s="768"/>
      <c r="I274" s="768"/>
      <c r="J274" s="768"/>
      <c r="K274" s="768"/>
      <c r="L274" s="769"/>
      <c r="M274" s="216"/>
      <c r="O274" s="176"/>
      <c r="P274" s="176"/>
    </row>
    <row r="275" spans="1:16" s="182" customFormat="1" x14ac:dyDescent="0.25">
      <c r="A275" s="204"/>
      <c r="B275" s="220"/>
      <c r="C275" s="221"/>
      <c r="D275" s="221"/>
      <c r="E275" s="221"/>
      <c r="F275" s="221"/>
      <c r="G275" s="221"/>
      <c r="H275" s="221"/>
      <c r="I275" s="221"/>
      <c r="J275" s="221"/>
      <c r="K275" s="221"/>
      <c r="L275" s="206"/>
      <c r="O275" s="178"/>
      <c r="P275" s="178"/>
    </row>
    <row r="276" spans="1:16" s="182" customFormat="1" x14ac:dyDescent="0.25">
      <c r="A276" s="204"/>
      <c r="B276" s="778" t="str">
        <f>IF(Intro!$G$21="English",O276,P276)</f>
        <v>Dans quelle mesure les marchandises produites au Canada sont-elles interchangeables avec les marchandises importées de la Chine?</v>
      </c>
      <c r="C276" s="779"/>
      <c r="D276" s="779"/>
      <c r="E276" s="779"/>
      <c r="F276" s="779"/>
      <c r="G276" s="779"/>
      <c r="H276" s="779"/>
      <c r="I276" s="779"/>
      <c r="J276" s="779"/>
      <c r="K276" s="779"/>
      <c r="L276" s="780"/>
      <c r="O276" s="178" t="str">
        <f>"To what extent are the goods produced in Canada interchangeable with the goods imported from "&amp;Variables!B5&amp;"?"</f>
        <v>To what extent are the goods produced in Canada interchangeable with the goods imported from China?</v>
      </c>
      <c r="P276" s="178" t="str">
        <f>"Dans quelle mesure les marchandises produites au Canada sont-elles interchangeables avec les marchandises importées de "&amp;Variables!C5&amp;"?"</f>
        <v>Dans quelle mesure les marchandises produites au Canada sont-elles interchangeables avec les marchandises importées de la Chine?</v>
      </c>
    </row>
    <row r="277" spans="1:16" s="182" customFormat="1" x14ac:dyDescent="0.25">
      <c r="A277" s="204"/>
      <c r="B277" s="220"/>
      <c r="C277" s="221"/>
      <c r="D277" s="221"/>
      <c r="E277" s="221"/>
      <c r="F277" s="221"/>
      <c r="G277" s="221"/>
      <c r="H277" s="221"/>
      <c r="I277" s="221"/>
      <c r="J277" s="221"/>
      <c r="K277" s="221"/>
      <c r="L277" s="206"/>
      <c r="O277" s="178"/>
      <c r="P277" s="178"/>
    </row>
    <row r="278" spans="1:16" s="3" customFormat="1" x14ac:dyDescent="0.25">
      <c r="A278" s="15"/>
      <c r="B278" s="773"/>
      <c r="C278" s="774"/>
      <c r="D278" s="774"/>
      <c r="E278" s="774"/>
      <c r="F278" s="774"/>
      <c r="G278" s="774"/>
      <c r="H278" s="774"/>
      <c r="I278" s="774"/>
      <c r="J278" s="774"/>
      <c r="K278" s="774"/>
      <c r="L278" s="775"/>
      <c r="M278" s="182"/>
      <c r="O278" s="176"/>
      <c r="P278" s="176"/>
    </row>
    <row r="279" spans="1:16" s="3" customFormat="1" x14ac:dyDescent="0.25">
      <c r="A279" s="15"/>
      <c r="B279" s="773"/>
      <c r="C279" s="774"/>
      <c r="D279" s="774"/>
      <c r="E279" s="774"/>
      <c r="F279" s="774"/>
      <c r="G279" s="774"/>
      <c r="H279" s="774"/>
      <c r="I279" s="774"/>
      <c r="J279" s="774"/>
      <c r="K279" s="774"/>
      <c r="L279" s="775"/>
      <c r="M279" s="182"/>
      <c r="O279" s="176"/>
      <c r="P279" s="176"/>
    </row>
    <row r="280" spans="1:16" s="3" customFormat="1" x14ac:dyDescent="0.25">
      <c r="A280" s="15"/>
      <c r="B280" s="773"/>
      <c r="C280" s="774"/>
      <c r="D280" s="774"/>
      <c r="E280" s="774"/>
      <c r="F280" s="774"/>
      <c r="G280" s="774"/>
      <c r="H280" s="774"/>
      <c r="I280" s="774"/>
      <c r="J280" s="774"/>
      <c r="K280" s="774"/>
      <c r="L280" s="775"/>
      <c r="M280" s="182"/>
      <c r="O280" s="176"/>
      <c r="P280" s="176"/>
    </row>
    <row r="281" spans="1:16" s="3" customFormat="1" x14ac:dyDescent="0.25">
      <c r="A281" s="15"/>
      <c r="B281" s="773"/>
      <c r="C281" s="774"/>
      <c r="D281" s="774"/>
      <c r="E281" s="774"/>
      <c r="F281" s="774"/>
      <c r="G281" s="774"/>
      <c r="H281" s="774"/>
      <c r="I281" s="774"/>
      <c r="J281" s="774"/>
      <c r="K281" s="774"/>
      <c r="L281" s="775"/>
      <c r="M281" s="182"/>
      <c r="O281" s="176"/>
      <c r="P281" s="176"/>
    </row>
    <row r="282" spans="1:16" s="3" customFormat="1" x14ac:dyDescent="0.25">
      <c r="A282" s="15"/>
      <c r="B282" s="773"/>
      <c r="C282" s="774"/>
      <c r="D282" s="774"/>
      <c r="E282" s="774"/>
      <c r="F282" s="774"/>
      <c r="G282" s="774"/>
      <c r="H282" s="774"/>
      <c r="I282" s="774"/>
      <c r="J282" s="774"/>
      <c r="K282" s="774"/>
      <c r="L282" s="775"/>
      <c r="M282" s="182"/>
      <c r="O282" s="176"/>
      <c r="P282" s="176"/>
    </row>
    <row r="283" spans="1:16" s="3" customFormat="1" x14ac:dyDescent="0.25">
      <c r="A283" s="15"/>
      <c r="B283" s="773"/>
      <c r="C283" s="774"/>
      <c r="D283" s="774"/>
      <c r="E283" s="774"/>
      <c r="F283" s="774"/>
      <c r="G283" s="774"/>
      <c r="H283" s="774"/>
      <c r="I283" s="774"/>
      <c r="J283" s="774"/>
      <c r="K283" s="774"/>
      <c r="L283" s="775"/>
      <c r="M283" s="182"/>
      <c r="O283" s="176"/>
      <c r="P283" s="176"/>
    </row>
    <row r="284" spans="1:16" s="3" customFormat="1" x14ac:dyDescent="0.25">
      <c r="A284" s="15"/>
      <c r="B284" s="773"/>
      <c r="C284" s="774"/>
      <c r="D284" s="774"/>
      <c r="E284" s="774"/>
      <c r="F284" s="774"/>
      <c r="G284" s="774"/>
      <c r="H284" s="774"/>
      <c r="I284" s="774"/>
      <c r="J284" s="774"/>
      <c r="K284" s="774"/>
      <c r="L284" s="775"/>
      <c r="M284" s="182"/>
      <c r="O284" s="176"/>
      <c r="P284" s="176"/>
    </row>
    <row r="285" spans="1:16" s="3" customFormat="1" x14ac:dyDescent="0.25">
      <c r="A285" s="15"/>
      <c r="B285" s="773"/>
      <c r="C285" s="774"/>
      <c r="D285" s="774"/>
      <c r="E285" s="774"/>
      <c r="F285" s="774"/>
      <c r="G285" s="774"/>
      <c r="H285" s="774"/>
      <c r="I285" s="774"/>
      <c r="J285" s="774"/>
      <c r="K285" s="774"/>
      <c r="L285" s="775"/>
      <c r="M285" s="182"/>
      <c r="O285" s="176"/>
      <c r="P285" s="176"/>
    </row>
    <row r="286" spans="1:16" s="182" customFormat="1" x14ac:dyDescent="0.25">
      <c r="A286" s="204"/>
      <c r="B286" s="223"/>
      <c r="C286" s="224"/>
      <c r="D286" s="224"/>
      <c r="E286" s="224"/>
      <c r="F286" s="224"/>
      <c r="G286" s="224"/>
      <c r="H286" s="224"/>
      <c r="I286" s="224"/>
      <c r="J286" s="224"/>
      <c r="K286" s="224"/>
      <c r="L286" s="222"/>
      <c r="O286" s="178"/>
      <c r="P286" s="178"/>
    </row>
    <row r="287" spans="1:16" s="3" customFormat="1" x14ac:dyDescent="0.25">
      <c r="A287" s="15"/>
      <c r="B287" s="767" t="s">
        <v>311</v>
      </c>
      <c r="C287" s="768"/>
      <c r="D287" s="768"/>
      <c r="E287" s="768"/>
      <c r="F287" s="768"/>
      <c r="G287" s="768"/>
      <c r="H287" s="768"/>
      <c r="I287" s="768"/>
      <c r="J287" s="768"/>
      <c r="K287" s="768"/>
      <c r="L287" s="769"/>
      <c r="M287" s="216"/>
      <c r="O287" s="176"/>
      <c r="P287" s="176"/>
    </row>
    <row r="288" spans="1:16" s="182" customFormat="1" x14ac:dyDescent="0.25">
      <c r="A288" s="204"/>
      <c r="B288" s="220"/>
      <c r="C288" s="221"/>
      <c r="D288" s="221"/>
      <c r="E288" s="221"/>
      <c r="F288" s="221"/>
      <c r="G288" s="221"/>
      <c r="H288" s="221"/>
      <c r="I288" s="221"/>
      <c r="J288" s="221"/>
      <c r="K288" s="221"/>
      <c r="L288" s="206"/>
      <c r="O288" s="178"/>
      <c r="P288" s="178"/>
    </row>
    <row r="289" spans="1:16" s="182" customFormat="1" x14ac:dyDescent="0.25">
      <c r="A289" s="204"/>
      <c r="B289" s="778" t="str">
        <f>IF(Intro!$G$21="English",O289,P289)</f>
        <v>Dans quelle mesure les marchandises produites au Canada sont-elles comparables en prix aux produits importés de la Chine?</v>
      </c>
      <c r="C289" s="779"/>
      <c r="D289" s="779"/>
      <c r="E289" s="779"/>
      <c r="F289" s="779"/>
      <c r="G289" s="779"/>
      <c r="H289" s="779"/>
      <c r="I289" s="779"/>
      <c r="J289" s="779"/>
      <c r="K289" s="779"/>
      <c r="L289" s="780"/>
      <c r="O289" s="178" t="str">
        <f>"To what extent are the goods produced in Canada comparable in price with the goods imported from "&amp;Variables!B5&amp;"?"</f>
        <v>To what extent are the goods produced in Canada comparable in price with the goods imported from China?</v>
      </c>
      <c r="P289" s="178" t="str">
        <f>"Dans quelle mesure les marchandises produites au Canada sont-elles comparables en prix aux produits importés de "&amp;Variables!C5&amp;"?"</f>
        <v>Dans quelle mesure les marchandises produites au Canada sont-elles comparables en prix aux produits importés de la Chine?</v>
      </c>
    </row>
    <row r="290" spans="1:16" s="182" customFormat="1" x14ac:dyDescent="0.25">
      <c r="A290" s="204"/>
      <c r="B290" s="220"/>
      <c r="C290" s="221"/>
      <c r="D290" s="221"/>
      <c r="E290" s="221"/>
      <c r="F290" s="221"/>
      <c r="G290" s="221"/>
      <c r="H290" s="221"/>
      <c r="I290" s="221"/>
      <c r="J290" s="221"/>
      <c r="K290" s="221"/>
      <c r="L290" s="206"/>
      <c r="O290" s="178"/>
      <c r="P290" s="178"/>
    </row>
    <row r="291" spans="1:16" s="3" customFormat="1" x14ac:dyDescent="0.25">
      <c r="A291" s="15"/>
      <c r="B291" s="773"/>
      <c r="C291" s="774"/>
      <c r="D291" s="774"/>
      <c r="E291" s="774"/>
      <c r="F291" s="774"/>
      <c r="G291" s="774"/>
      <c r="H291" s="774"/>
      <c r="I291" s="774"/>
      <c r="J291" s="774"/>
      <c r="K291" s="774"/>
      <c r="L291" s="775"/>
      <c r="M291" s="182"/>
      <c r="O291" s="176"/>
      <c r="P291" s="176"/>
    </row>
    <row r="292" spans="1:16" s="3" customFormat="1" x14ac:dyDescent="0.25">
      <c r="A292" s="15"/>
      <c r="B292" s="773"/>
      <c r="C292" s="774"/>
      <c r="D292" s="774"/>
      <c r="E292" s="774"/>
      <c r="F292" s="774"/>
      <c r="G292" s="774"/>
      <c r="H292" s="774"/>
      <c r="I292" s="774"/>
      <c r="J292" s="774"/>
      <c r="K292" s="774"/>
      <c r="L292" s="775"/>
      <c r="M292" s="182"/>
      <c r="O292" s="176"/>
      <c r="P292" s="176"/>
    </row>
    <row r="293" spans="1:16" s="3" customFormat="1" x14ac:dyDescent="0.25">
      <c r="A293" s="15"/>
      <c r="B293" s="773"/>
      <c r="C293" s="774"/>
      <c r="D293" s="774"/>
      <c r="E293" s="774"/>
      <c r="F293" s="774"/>
      <c r="G293" s="774"/>
      <c r="H293" s="774"/>
      <c r="I293" s="774"/>
      <c r="J293" s="774"/>
      <c r="K293" s="774"/>
      <c r="L293" s="775"/>
      <c r="M293" s="182"/>
      <c r="O293" s="176"/>
      <c r="P293" s="176"/>
    </row>
    <row r="294" spans="1:16" s="3" customFormat="1" x14ac:dyDescent="0.25">
      <c r="A294" s="15"/>
      <c r="B294" s="773"/>
      <c r="C294" s="774"/>
      <c r="D294" s="774"/>
      <c r="E294" s="774"/>
      <c r="F294" s="774"/>
      <c r="G294" s="774"/>
      <c r="H294" s="774"/>
      <c r="I294" s="774"/>
      <c r="J294" s="774"/>
      <c r="K294" s="774"/>
      <c r="L294" s="775"/>
      <c r="M294" s="182"/>
      <c r="O294" s="176"/>
      <c r="P294" s="176"/>
    </row>
    <row r="295" spans="1:16" s="3" customFormat="1" x14ac:dyDescent="0.25">
      <c r="A295" s="15"/>
      <c r="B295" s="773"/>
      <c r="C295" s="774"/>
      <c r="D295" s="774"/>
      <c r="E295" s="774"/>
      <c r="F295" s="774"/>
      <c r="G295" s="774"/>
      <c r="H295" s="774"/>
      <c r="I295" s="774"/>
      <c r="J295" s="774"/>
      <c r="K295" s="774"/>
      <c r="L295" s="775"/>
      <c r="M295" s="182"/>
      <c r="O295" s="176"/>
      <c r="P295" s="176"/>
    </row>
    <row r="296" spans="1:16" s="3" customFormat="1" x14ac:dyDescent="0.25">
      <c r="A296" s="15"/>
      <c r="B296" s="773"/>
      <c r="C296" s="774"/>
      <c r="D296" s="774"/>
      <c r="E296" s="774"/>
      <c r="F296" s="774"/>
      <c r="G296" s="774"/>
      <c r="H296" s="774"/>
      <c r="I296" s="774"/>
      <c r="J296" s="774"/>
      <c r="K296" s="774"/>
      <c r="L296" s="775"/>
      <c r="M296" s="182"/>
      <c r="O296" s="176"/>
      <c r="P296" s="176"/>
    </row>
    <row r="297" spans="1:16" s="3" customFormat="1" x14ac:dyDescent="0.25">
      <c r="A297" s="15"/>
      <c r="B297" s="773"/>
      <c r="C297" s="774"/>
      <c r="D297" s="774"/>
      <c r="E297" s="774"/>
      <c r="F297" s="774"/>
      <c r="G297" s="774"/>
      <c r="H297" s="774"/>
      <c r="I297" s="774"/>
      <c r="J297" s="774"/>
      <c r="K297" s="774"/>
      <c r="L297" s="775"/>
      <c r="M297" s="182"/>
      <c r="O297" s="176"/>
      <c r="P297" s="176"/>
    </row>
    <row r="298" spans="1:16" s="3" customFormat="1" x14ac:dyDescent="0.25">
      <c r="A298" s="15"/>
      <c r="B298" s="773"/>
      <c r="C298" s="774"/>
      <c r="D298" s="774"/>
      <c r="E298" s="774"/>
      <c r="F298" s="774"/>
      <c r="G298" s="774"/>
      <c r="H298" s="774"/>
      <c r="I298" s="774"/>
      <c r="J298" s="774"/>
      <c r="K298" s="774"/>
      <c r="L298" s="775"/>
      <c r="M298" s="182"/>
      <c r="O298" s="176"/>
      <c r="P298" s="176"/>
    </row>
    <row r="299" spans="1:16" s="182" customFormat="1" x14ac:dyDescent="0.25">
      <c r="A299" s="204"/>
      <c r="B299" s="223"/>
      <c r="C299" s="224"/>
      <c r="D299" s="224"/>
      <c r="E299" s="224"/>
      <c r="F299" s="224"/>
      <c r="G299" s="224"/>
      <c r="H299" s="224"/>
      <c r="I299" s="224"/>
      <c r="J299" s="224"/>
      <c r="K299" s="224"/>
      <c r="L299" s="222"/>
      <c r="O299" s="178"/>
      <c r="P299" s="178"/>
    </row>
    <row r="300" spans="1:16" s="3" customFormat="1" x14ac:dyDescent="0.25">
      <c r="A300" s="15"/>
      <c r="B300" s="767" t="s">
        <v>312</v>
      </c>
      <c r="C300" s="768"/>
      <c r="D300" s="768"/>
      <c r="E300" s="768"/>
      <c r="F300" s="768"/>
      <c r="G300" s="768"/>
      <c r="H300" s="768"/>
      <c r="I300" s="768"/>
      <c r="J300" s="768"/>
      <c r="K300" s="768"/>
      <c r="L300" s="769"/>
      <c r="M300" s="216"/>
      <c r="O300" s="176"/>
      <c r="P300" s="176"/>
    </row>
    <row r="301" spans="1:16" s="182" customFormat="1" x14ac:dyDescent="0.25">
      <c r="A301" s="204"/>
      <c r="B301" s="220"/>
      <c r="C301" s="221"/>
      <c r="D301" s="221"/>
      <c r="E301" s="221"/>
      <c r="F301" s="221"/>
      <c r="G301" s="221"/>
      <c r="H301" s="221"/>
      <c r="I301" s="221"/>
      <c r="J301" s="221"/>
      <c r="K301" s="221"/>
      <c r="L301" s="206"/>
      <c r="O301" s="178"/>
      <c r="P301" s="178"/>
    </row>
    <row r="302" spans="1:16" s="182" customFormat="1" x14ac:dyDescent="0.25">
      <c r="A302" s="204"/>
      <c r="B302" s="694" t="str">
        <f>IF(Intro!$G$21="English",O302,P302)</f>
        <v>Dans quelle mesure les marchandises produites au Canada sont-elles comparables en termes de facteurs autres que le prix (y compris la qualité du produit, les délais de livraison et de livraison, la fiabilité de l'approvisionnement, etc.) avec les marchandises importées de la Chine?</v>
      </c>
      <c r="C302" s="695"/>
      <c r="D302" s="695"/>
      <c r="E302" s="695"/>
      <c r="F302" s="695"/>
      <c r="G302" s="695"/>
      <c r="H302" s="695"/>
      <c r="I302" s="695"/>
      <c r="J302" s="695"/>
      <c r="K302" s="695"/>
      <c r="L302" s="696"/>
      <c r="O302" s="178"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China?</v>
      </c>
      <c r="P302" s="178" t="str">
        <f>"Dans quelle mesure les marchandises produites au Canada sont-elles comparables en termes de facteurs autres que le prix (y compris la qualité du produit, les délais de livraison et de livraison, la fiabilité de l'approvisionnement, etc.)"&amp;" avec les marchandises importées de "&amp;Variables!C5&amp;"?"</f>
        <v>Dans quelle mesure les marchandises produites au Canada sont-elles comparables en termes de facteurs autres que le prix (y compris la qualité du produit, les délais de livraison et de livraison, la fiabilité de l'approvisionnement, etc.) avec les marchandises importées de la Chine?</v>
      </c>
    </row>
    <row r="303" spans="1:16" s="182" customFormat="1" x14ac:dyDescent="0.25">
      <c r="A303" s="204"/>
      <c r="B303" s="694"/>
      <c r="C303" s="695"/>
      <c r="D303" s="695"/>
      <c r="E303" s="695"/>
      <c r="F303" s="695"/>
      <c r="G303" s="695"/>
      <c r="H303" s="695"/>
      <c r="I303" s="695"/>
      <c r="J303" s="695"/>
      <c r="K303" s="695"/>
      <c r="L303" s="696"/>
      <c r="O303" s="178"/>
      <c r="P303" s="178"/>
    </row>
    <row r="304" spans="1:16" s="182" customFormat="1" x14ac:dyDescent="0.25">
      <c r="A304" s="204"/>
      <c r="B304" s="220"/>
      <c r="C304" s="221"/>
      <c r="D304" s="221"/>
      <c r="E304" s="221"/>
      <c r="F304" s="221"/>
      <c r="G304" s="221"/>
      <c r="H304" s="221"/>
      <c r="I304" s="221"/>
      <c r="J304" s="221"/>
      <c r="K304" s="221"/>
      <c r="L304" s="206"/>
      <c r="O304" s="178"/>
      <c r="P304" s="178"/>
    </row>
    <row r="305" spans="1:16" s="3" customFormat="1" x14ac:dyDescent="0.25">
      <c r="A305" s="15"/>
      <c r="B305" s="773"/>
      <c r="C305" s="774"/>
      <c r="D305" s="774"/>
      <c r="E305" s="774"/>
      <c r="F305" s="774"/>
      <c r="G305" s="774"/>
      <c r="H305" s="774"/>
      <c r="I305" s="774"/>
      <c r="J305" s="774"/>
      <c r="K305" s="774"/>
      <c r="L305" s="775"/>
      <c r="M305" s="182"/>
      <c r="O305" s="176"/>
      <c r="P305" s="176"/>
    </row>
    <row r="306" spans="1:16" s="3" customFormat="1" x14ac:dyDescent="0.25">
      <c r="A306" s="15"/>
      <c r="B306" s="773"/>
      <c r="C306" s="774"/>
      <c r="D306" s="774"/>
      <c r="E306" s="774"/>
      <c r="F306" s="774"/>
      <c r="G306" s="774"/>
      <c r="H306" s="774"/>
      <c r="I306" s="774"/>
      <c r="J306" s="774"/>
      <c r="K306" s="774"/>
      <c r="L306" s="775"/>
      <c r="M306" s="182"/>
      <c r="O306" s="176"/>
      <c r="P306" s="176"/>
    </row>
    <row r="307" spans="1:16" s="3" customFormat="1" x14ac:dyDescent="0.25">
      <c r="A307" s="15"/>
      <c r="B307" s="773"/>
      <c r="C307" s="774"/>
      <c r="D307" s="774"/>
      <c r="E307" s="774"/>
      <c r="F307" s="774"/>
      <c r="G307" s="774"/>
      <c r="H307" s="774"/>
      <c r="I307" s="774"/>
      <c r="J307" s="774"/>
      <c r="K307" s="774"/>
      <c r="L307" s="775"/>
      <c r="M307" s="182"/>
      <c r="O307" s="176"/>
      <c r="P307" s="176"/>
    </row>
    <row r="308" spans="1:16" s="3" customFormat="1" x14ac:dyDescent="0.25">
      <c r="A308" s="15"/>
      <c r="B308" s="773"/>
      <c r="C308" s="774"/>
      <c r="D308" s="774"/>
      <c r="E308" s="774"/>
      <c r="F308" s="774"/>
      <c r="G308" s="774"/>
      <c r="H308" s="774"/>
      <c r="I308" s="774"/>
      <c r="J308" s="774"/>
      <c r="K308" s="774"/>
      <c r="L308" s="775"/>
      <c r="M308" s="182"/>
      <c r="O308" s="176"/>
      <c r="P308" s="176"/>
    </row>
    <row r="309" spans="1:16" s="3" customFormat="1" x14ac:dyDescent="0.25">
      <c r="A309" s="15"/>
      <c r="B309" s="773"/>
      <c r="C309" s="774"/>
      <c r="D309" s="774"/>
      <c r="E309" s="774"/>
      <c r="F309" s="774"/>
      <c r="G309" s="774"/>
      <c r="H309" s="774"/>
      <c r="I309" s="774"/>
      <c r="J309" s="774"/>
      <c r="K309" s="774"/>
      <c r="L309" s="775"/>
      <c r="M309" s="182"/>
      <c r="O309" s="176"/>
      <c r="P309" s="176"/>
    </row>
    <row r="310" spans="1:16" s="3" customFormat="1" x14ac:dyDescent="0.25">
      <c r="A310" s="15"/>
      <c r="B310" s="773"/>
      <c r="C310" s="774"/>
      <c r="D310" s="774"/>
      <c r="E310" s="774"/>
      <c r="F310" s="774"/>
      <c r="G310" s="774"/>
      <c r="H310" s="774"/>
      <c r="I310" s="774"/>
      <c r="J310" s="774"/>
      <c r="K310" s="774"/>
      <c r="L310" s="775"/>
      <c r="M310" s="182"/>
      <c r="O310" s="176"/>
      <c r="P310" s="176"/>
    </row>
    <row r="311" spans="1:16" s="3" customFormat="1" x14ac:dyDescent="0.25">
      <c r="A311" s="15"/>
      <c r="B311" s="773"/>
      <c r="C311" s="774"/>
      <c r="D311" s="774"/>
      <c r="E311" s="774"/>
      <c r="F311" s="774"/>
      <c r="G311" s="774"/>
      <c r="H311" s="774"/>
      <c r="I311" s="774"/>
      <c r="J311" s="774"/>
      <c r="K311" s="774"/>
      <c r="L311" s="775"/>
      <c r="M311" s="182"/>
      <c r="O311" s="176"/>
      <c r="P311" s="176"/>
    </row>
    <row r="312" spans="1:16" s="3" customFormat="1" x14ac:dyDescent="0.25">
      <c r="A312" s="15"/>
      <c r="B312" s="773"/>
      <c r="C312" s="774"/>
      <c r="D312" s="774"/>
      <c r="E312" s="774"/>
      <c r="F312" s="774"/>
      <c r="G312" s="774"/>
      <c r="H312" s="774"/>
      <c r="I312" s="774"/>
      <c r="J312" s="774"/>
      <c r="K312" s="774"/>
      <c r="L312" s="775"/>
      <c r="M312" s="182"/>
      <c r="O312" s="176"/>
      <c r="P312" s="176"/>
    </row>
    <row r="313" spans="1:16" s="182" customFormat="1" x14ac:dyDescent="0.25">
      <c r="A313" s="204"/>
      <c r="B313" s="223"/>
      <c r="C313" s="224"/>
      <c r="D313" s="224"/>
      <c r="E313" s="224"/>
      <c r="F313" s="224"/>
      <c r="G313" s="224"/>
      <c r="H313" s="224"/>
      <c r="I313" s="224"/>
      <c r="J313" s="224"/>
      <c r="K313" s="224"/>
      <c r="L313" s="222"/>
      <c r="O313" s="178"/>
      <c r="P313" s="178"/>
    </row>
    <row r="315" spans="1:16" x14ac:dyDescent="0.25">
      <c r="B315" s="35" t="str">
        <f>IF(Intro!$G$21="English",O315,P315)</f>
        <v>VENTES</v>
      </c>
      <c r="C315" s="36"/>
      <c r="D315" s="36"/>
      <c r="E315" s="36"/>
      <c r="F315" s="36"/>
      <c r="G315" s="36"/>
      <c r="H315" s="36"/>
      <c r="I315" s="36"/>
      <c r="J315" s="36"/>
      <c r="K315" s="36"/>
      <c r="L315" s="37"/>
      <c r="M315" s="182"/>
      <c r="O315" s="179" t="s">
        <v>691</v>
      </c>
      <c r="P315" s="179" t="s">
        <v>692</v>
      </c>
    </row>
    <row r="316" spans="1:16" s="3" customFormat="1" x14ac:dyDescent="0.25">
      <c r="A316" s="15"/>
      <c r="B316" s="767" t="s">
        <v>325</v>
      </c>
      <c r="C316" s="768"/>
      <c r="D316" s="768"/>
      <c r="E316" s="768"/>
      <c r="F316" s="768"/>
      <c r="G316" s="768"/>
      <c r="H316" s="768"/>
      <c r="I316" s="768"/>
      <c r="J316" s="768"/>
      <c r="K316" s="768"/>
      <c r="L316" s="769"/>
      <c r="M316" s="216"/>
      <c r="O316" s="176"/>
      <c r="P316" s="176"/>
    </row>
    <row r="317" spans="1:16" s="182" customFormat="1" x14ac:dyDescent="0.25">
      <c r="A317" s="204"/>
      <c r="B317" s="220"/>
      <c r="C317" s="221"/>
      <c r="D317" s="221"/>
      <c r="E317" s="221"/>
      <c r="F317" s="221"/>
      <c r="G317" s="221"/>
      <c r="H317" s="221"/>
      <c r="I317" s="221"/>
      <c r="J317" s="221"/>
      <c r="K317" s="221"/>
      <c r="L317" s="206"/>
      <c r="O317" s="178"/>
      <c r="P317" s="178"/>
    </row>
    <row r="318" spans="1:16" s="182" customFormat="1" x14ac:dyDescent="0.25">
      <c r="A318" s="204"/>
      <c r="B318" s="778" t="str">
        <f>IF(Intro!$G$21="English",O318,P318)</f>
        <v>Décrivez tout changement dans les canaux de distribution de votre entreprise depuis le 1er janvier 2022.</v>
      </c>
      <c r="C318" s="779"/>
      <c r="D318" s="779"/>
      <c r="E318" s="779"/>
      <c r="F318" s="779"/>
      <c r="G318" s="779"/>
      <c r="H318" s="779"/>
      <c r="I318" s="779"/>
      <c r="J318" s="779"/>
      <c r="K318" s="779"/>
      <c r="L318" s="780"/>
      <c r="O318" s="178" t="str">
        <f>"Describe any changes in your firm's channels of distribution since January 1, "&amp;Variables!B6&amp;"."</f>
        <v>Describe any changes in your firm's channels of distribution since January 1, 2022.</v>
      </c>
      <c r="P318" s="178" t="str">
        <f>"Décrivez tout changement dans les canaux de distribution de votre entreprise depuis le 1er janvier "&amp;Variables!B6&amp;"."</f>
        <v>Décrivez tout changement dans les canaux de distribution de votre entreprise depuis le 1er janvier 2022.</v>
      </c>
    </row>
    <row r="319" spans="1:16" s="182" customFormat="1" x14ac:dyDescent="0.25">
      <c r="A319" s="204"/>
      <c r="B319" s="220"/>
      <c r="C319" s="221"/>
      <c r="D319" s="221"/>
      <c r="E319" s="221"/>
      <c r="F319" s="221"/>
      <c r="G319" s="221"/>
      <c r="H319" s="221"/>
      <c r="I319" s="221"/>
      <c r="J319" s="221"/>
      <c r="K319" s="221"/>
      <c r="L319" s="206"/>
      <c r="O319" s="178"/>
      <c r="P319" s="178"/>
    </row>
    <row r="320" spans="1:16" s="3" customFormat="1" x14ac:dyDescent="0.25">
      <c r="A320" s="15"/>
      <c r="B320" s="773"/>
      <c r="C320" s="774"/>
      <c r="D320" s="774"/>
      <c r="E320" s="774"/>
      <c r="F320" s="774"/>
      <c r="G320" s="774"/>
      <c r="H320" s="774"/>
      <c r="I320" s="774"/>
      <c r="J320" s="774"/>
      <c r="K320" s="774"/>
      <c r="L320" s="775"/>
      <c r="M320" s="182"/>
      <c r="O320" s="176"/>
      <c r="P320" s="176"/>
    </row>
    <row r="321" spans="1:16" s="3" customFormat="1" x14ac:dyDescent="0.25">
      <c r="A321" s="15"/>
      <c r="B321" s="773"/>
      <c r="C321" s="774"/>
      <c r="D321" s="774"/>
      <c r="E321" s="774"/>
      <c r="F321" s="774"/>
      <c r="G321" s="774"/>
      <c r="H321" s="774"/>
      <c r="I321" s="774"/>
      <c r="J321" s="774"/>
      <c r="K321" s="774"/>
      <c r="L321" s="775"/>
      <c r="M321" s="182"/>
      <c r="O321" s="176"/>
      <c r="P321" s="176"/>
    </row>
    <row r="322" spans="1:16" s="3" customFormat="1" x14ac:dyDescent="0.25">
      <c r="A322" s="15"/>
      <c r="B322" s="773"/>
      <c r="C322" s="774"/>
      <c r="D322" s="774"/>
      <c r="E322" s="774"/>
      <c r="F322" s="774"/>
      <c r="G322" s="774"/>
      <c r="H322" s="774"/>
      <c r="I322" s="774"/>
      <c r="J322" s="774"/>
      <c r="K322" s="774"/>
      <c r="L322" s="775"/>
      <c r="M322" s="182"/>
      <c r="O322" s="176"/>
      <c r="P322" s="176"/>
    </row>
    <row r="323" spans="1:16" s="3" customFormat="1" x14ac:dyDescent="0.25">
      <c r="A323" s="15"/>
      <c r="B323" s="773"/>
      <c r="C323" s="774"/>
      <c r="D323" s="774"/>
      <c r="E323" s="774"/>
      <c r="F323" s="774"/>
      <c r="G323" s="774"/>
      <c r="H323" s="774"/>
      <c r="I323" s="774"/>
      <c r="J323" s="774"/>
      <c r="K323" s="774"/>
      <c r="L323" s="775"/>
      <c r="M323" s="182"/>
      <c r="O323" s="176"/>
      <c r="P323" s="176"/>
    </row>
    <row r="324" spans="1:16" s="3" customFormat="1" x14ac:dyDescent="0.25">
      <c r="A324" s="15"/>
      <c r="B324" s="773"/>
      <c r="C324" s="774"/>
      <c r="D324" s="774"/>
      <c r="E324" s="774"/>
      <c r="F324" s="774"/>
      <c r="G324" s="774"/>
      <c r="H324" s="774"/>
      <c r="I324" s="774"/>
      <c r="J324" s="774"/>
      <c r="K324" s="774"/>
      <c r="L324" s="775"/>
      <c r="M324" s="182"/>
      <c r="O324" s="176"/>
      <c r="P324" s="176"/>
    </row>
    <row r="325" spans="1:16" s="3" customFormat="1" x14ac:dyDescent="0.25">
      <c r="A325" s="15"/>
      <c r="B325" s="773"/>
      <c r="C325" s="774"/>
      <c r="D325" s="774"/>
      <c r="E325" s="774"/>
      <c r="F325" s="774"/>
      <c r="G325" s="774"/>
      <c r="H325" s="774"/>
      <c r="I325" s="774"/>
      <c r="J325" s="774"/>
      <c r="K325" s="774"/>
      <c r="L325" s="775"/>
      <c r="M325" s="182"/>
      <c r="O325" s="176"/>
      <c r="P325" s="176"/>
    </row>
    <row r="326" spans="1:16" s="3" customFormat="1" x14ac:dyDescent="0.25">
      <c r="A326" s="15"/>
      <c r="B326" s="773"/>
      <c r="C326" s="774"/>
      <c r="D326" s="774"/>
      <c r="E326" s="774"/>
      <c r="F326" s="774"/>
      <c r="G326" s="774"/>
      <c r="H326" s="774"/>
      <c r="I326" s="774"/>
      <c r="J326" s="774"/>
      <c r="K326" s="774"/>
      <c r="L326" s="775"/>
      <c r="M326" s="182"/>
      <c r="O326" s="176"/>
      <c r="P326" s="176"/>
    </row>
    <row r="327" spans="1:16" s="3" customFormat="1" x14ac:dyDescent="0.25">
      <c r="A327" s="15"/>
      <c r="B327" s="773"/>
      <c r="C327" s="774"/>
      <c r="D327" s="774"/>
      <c r="E327" s="774"/>
      <c r="F327" s="774"/>
      <c r="G327" s="774"/>
      <c r="H327" s="774"/>
      <c r="I327" s="774"/>
      <c r="J327" s="774"/>
      <c r="K327" s="774"/>
      <c r="L327" s="775"/>
      <c r="M327" s="182"/>
      <c r="O327" s="176"/>
      <c r="P327" s="176"/>
    </row>
    <row r="328" spans="1:16" s="182" customFormat="1" x14ac:dyDescent="0.25">
      <c r="A328" s="204"/>
      <c r="B328" s="223"/>
      <c r="C328" s="224"/>
      <c r="D328" s="224"/>
      <c r="E328" s="224"/>
      <c r="F328" s="224"/>
      <c r="G328" s="224"/>
      <c r="H328" s="224"/>
      <c r="I328" s="224"/>
      <c r="J328" s="224"/>
      <c r="K328" s="224"/>
      <c r="L328" s="222"/>
      <c r="O328" s="178"/>
      <c r="P328" s="178"/>
    </row>
    <row r="329" spans="1:16" s="3" customFormat="1" x14ac:dyDescent="0.25">
      <c r="A329" s="15"/>
      <c r="B329" s="767" t="s">
        <v>326</v>
      </c>
      <c r="C329" s="768"/>
      <c r="D329" s="768"/>
      <c r="E329" s="768"/>
      <c r="F329" s="768"/>
      <c r="G329" s="768"/>
      <c r="H329" s="768"/>
      <c r="I329" s="768"/>
      <c r="J329" s="768"/>
      <c r="K329" s="768"/>
      <c r="L329" s="769"/>
      <c r="M329" s="216"/>
      <c r="O329" s="176"/>
      <c r="P329" s="176"/>
    </row>
    <row r="330" spans="1:16" s="182" customFormat="1" x14ac:dyDescent="0.25">
      <c r="A330" s="204"/>
      <c r="B330" s="220"/>
      <c r="C330" s="221"/>
      <c r="D330" s="221"/>
      <c r="E330" s="221"/>
      <c r="F330" s="221"/>
      <c r="G330" s="221"/>
      <c r="H330" s="221"/>
      <c r="I330" s="221"/>
      <c r="J330" s="221"/>
      <c r="K330" s="221"/>
      <c r="L330" s="206"/>
      <c r="O330" s="178"/>
      <c r="P330" s="178"/>
    </row>
    <row r="331" spans="1:16" s="182" customFormat="1" x14ac:dyDescent="0.25">
      <c r="A331" s="204"/>
      <c r="B331" s="694" t="str">
        <f>IF(Intro!$G$21="English",O331,P331)</f>
        <v>Comment votre entreprise favorise-t-elle les ventes des marchandises sur le marché canadien? Vos méthodes ont-elles changées depuis le 1er janvier 2022?</v>
      </c>
      <c r="C331" s="695"/>
      <c r="D331" s="695"/>
      <c r="E331" s="695"/>
      <c r="F331" s="695"/>
      <c r="G331" s="695"/>
      <c r="H331" s="695"/>
      <c r="I331" s="695"/>
      <c r="J331" s="695"/>
      <c r="K331" s="695"/>
      <c r="L331" s="696"/>
      <c r="O331" s="178" t="str">
        <f>"How does your firm promote sales of the goods in the Canadian market? Have these methods changed since January 1, "&amp;Variables!B6&amp;"?"</f>
        <v>How does your firm promote sales of the goods in the Canadian market? Have these methods changed since January 1, 2022?</v>
      </c>
      <c r="P331" s="17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row>
    <row r="332" spans="1:16" s="182" customFormat="1" x14ac:dyDescent="0.25">
      <c r="A332" s="204"/>
      <c r="B332" s="694"/>
      <c r="C332" s="695"/>
      <c r="D332" s="695"/>
      <c r="E332" s="695"/>
      <c r="F332" s="695"/>
      <c r="G332" s="695"/>
      <c r="H332" s="695"/>
      <c r="I332" s="695"/>
      <c r="J332" s="695"/>
      <c r="K332" s="695"/>
      <c r="L332" s="696"/>
      <c r="O332" s="178"/>
      <c r="P332" s="178"/>
    </row>
    <row r="333" spans="1:16" s="182" customFormat="1" x14ac:dyDescent="0.25">
      <c r="A333" s="204"/>
      <c r="B333" s="220"/>
      <c r="C333" s="221"/>
      <c r="D333" s="221"/>
      <c r="E333" s="221"/>
      <c r="F333" s="221"/>
      <c r="G333" s="221"/>
      <c r="H333" s="221"/>
      <c r="I333" s="221"/>
      <c r="J333" s="221"/>
      <c r="K333" s="221"/>
      <c r="L333" s="206"/>
      <c r="O333" s="178"/>
      <c r="P333" s="178"/>
    </row>
    <row r="334" spans="1:16" s="3" customFormat="1" x14ac:dyDescent="0.25">
      <c r="A334" s="15"/>
      <c r="B334" s="773"/>
      <c r="C334" s="774"/>
      <c r="D334" s="774"/>
      <c r="E334" s="774"/>
      <c r="F334" s="774"/>
      <c r="G334" s="774"/>
      <c r="H334" s="774"/>
      <c r="I334" s="774"/>
      <c r="J334" s="774"/>
      <c r="K334" s="774"/>
      <c r="L334" s="775"/>
      <c r="M334" s="182"/>
      <c r="O334" s="176"/>
      <c r="P334" s="176"/>
    </row>
    <row r="335" spans="1:16" s="3" customFormat="1" x14ac:dyDescent="0.25">
      <c r="A335" s="15"/>
      <c r="B335" s="773"/>
      <c r="C335" s="774"/>
      <c r="D335" s="774"/>
      <c r="E335" s="774"/>
      <c r="F335" s="774"/>
      <c r="G335" s="774"/>
      <c r="H335" s="774"/>
      <c r="I335" s="774"/>
      <c r="J335" s="774"/>
      <c r="K335" s="774"/>
      <c r="L335" s="775"/>
      <c r="M335" s="182"/>
      <c r="O335" s="176"/>
      <c r="P335" s="176"/>
    </row>
    <row r="336" spans="1:16" s="3" customFormat="1" x14ac:dyDescent="0.25">
      <c r="A336" s="15"/>
      <c r="B336" s="773"/>
      <c r="C336" s="774"/>
      <c r="D336" s="774"/>
      <c r="E336" s="774"/>
      <c r="F336" s="774"/>
      <c r="G336" s="774"/>
      <c r="H336" s="774"/>
      <c r="I336" s="774"/>
      <c r="J336" s="774"/>
      <c r="K336" s="774"/>
      <c r="L336" s="775"/>
      <c r="M336" s="182"/>
      <c r="O336" s="176"/>
      <c r="P336" s="176"/>
    </row>
    <row r="337" spans="1:16" s="3" customFormat="1" x14ac:dyDescent="0.25">
      <c r="A337" s="15"/>
      <c r="B337" s="773"/>
      <c r="C337" s="774"/>
      <c r="D337" s="774"/>
      <c r="E337" s="774"/>
      <c r="F337" s="774"/>
      <c r="G337" s="774"/>
      <c r="H337" s="774"/>
      <c r="I337" s="774"/>
      <c r="J337" s="774"/>
      <c r="K337" s="774"/>
      <c r="L337" s="775"/>
      <c r="M337" s="182"/>
      <c r="O337" s="176"/>
      <c r="P337" s="176"/>
    </row>
    <row r="338" spans="1:16" s="3" customFormat="1" x14ac:dyDescent="0.25">
      <c r="A338" s="15"/>
      <c r="B338" s="773"/>
      <c r="C338" s="774"/>
      <c r="D338" s="774"/>
      <c r="E338" s="774"/>
      <c r="F338" s="774"/>
      <c r="G338" s="774"/>
      <c r="H338" s="774"/>
      <c r="I338" s="774"/>
      <c r="J338" s="774"/>
      <c r="K338" s="774"/>
      <c r="L338" s="775"/>
      <c r="M338" s="182"/>
      <c r="O338" s="176"/>
      <c r="P338" s="176"/>
    </row>
    <row r="339" spans="1:16" s="3" customFormat="1" x14ac:dyDescent="0.25">
      <c r="A339" s="15"/>
      <c r="B339" s="773"/>
      <c r="C339" s="774"/>
      <c r="D339" s="774"/>
      <c r="E339" s="774"/>
      <c r="F339" s="774"/>
      <c r="G339" s="774"/>
      <c r="H339" s="774"/>
      <c r="I339" s="774"/>
      <c r="J339" s="774"/>
      <c r="K339" s="774"/>
      <c r="L339" s="775"/>
      <c r="M339" s="182"/>
      <c r="O339" s="176"/>
      <c r="P339" s="176"/>
    </row>
    <row r="340" spans="1:16" s="3" customFormat="1" x14ac:dyDescent="0.25">
      <c r="A340" s="15"/>
      <c r="B340" s="773"/>
      <c r="C340" s="774"/>
      <c r="D340" s="774"/>
      <c r="E340" s="774"/>
      <c r="F340" s="774"/>
      <c r="G340" s="774"/>
      <c r="H340" s="774"/>
      <c r="I340" s="774"/>
      <c r="J340" s="774"/>
      <c r="K340" s="774"/>
      <c r="L340" s="775"/>
      <c r="M340" s="182"/>
      <c r="O340" s="176"/>
      <c r="P340" s="176"/>
    </row>
    <row r="341" spans="1:16" s="3" customFormat="1" x14ac:dyDescent="0.25">
      <c r="A341" s="15"/>
      <c r="B341" s="773"/>
      <c r="C341" s="774"/>
      <c r="D341" s="774"/>
      <c r="E341" s="774"/>
      <c r="F341" s="774"/>
      <c r="G341" s="774"/>
      <c r="H341" s="774"/>
      <c r="I341" s="774"/>
      <c r="J341" s="774"/>
      <c r="K341" s="774"/>
      <c r="L341" s="775"/>
      <c r="M341" s="182"/>
      <c r="O341" s="176"/>
      <c r="P341" s="176"/>
    </row>
    <row r="342" spans="1:16" s="182" customFormat="1" x14ac:dyDescent="0.25">
      <c r="A342" s="204"/>
      <c r="B342" s="223"/>
      <c r="C342" s="224"/>
      <c r="D342" s="224"/>
      <c r="E342" s="224"/>
      <c r="F342" s="224"/>
      <c r="G342" s="224"/>
      <c r="H342" s="224"/>
      <c r="I342" s="224"/>
      <c r="J342" s="224"/>
      <c r="K342" s="224"/>
      <c r="L342" s="222"/>
      <c r="O342" s="178"/>
      <c r="P342" s="178"/>
    </row>
    <row r="343" spans="1:16" s="3" customFormat="1" x14ac:dyDescent="0.25">
      <c r="A343" s="15"/>
      <c r="B343" s="767" t="s">
        <v>327</v>
      </c>
      <c r="C343" s="768"/>
      <c r="D343" s="768"/>
      <c r="E343" s="768"/>
      <c r="F343" s="768"/>
      <c r="G343" s="768"/>
      <c r="H343" s="768"/>
      <c r="I343" s="768"/>
      <c r="J343" s="768"/>
      <c r="K343" s="768"/>
      <c r="L343" s="769"/>
      <c r="M343" s="216"/>
      <c r="O343" s="176"/>
      <c r="P343" s="176"/>
    </row>
    <row r="344" spans="1:16" s="182" customFormat="1" x14ac:dyDescent="0.25">
      <c r="A344" s="204"/>
      <c r="B344" s="220"/>
      <c r="C344" s="221"/>
      <c r="D344" s="221"/>
      <c r="E344" s="221"/>
      <c r="F344" s="221"/>
      <c r="G344" s="221"/>
      <c r="H344" s="221"/>
      <c r="I344" s="221"/>
      <c r="J344" s="221"/>
      <c r="K344" s="221"/>
      <c r="L344" s="206"/>
      <c r="O344" s="178"/>
      <c r="P344" s="178"/>
    </row>
    <row r="345" spans="1:16" s="182" customFormat="1" x14ac:dyDescent="0.25">
      <c r="A345" s="204"/>
      <c r="B345" s="694" t="str">
        <f>IF(Intro!$G$21="English",O345,P345)</f>
        <v>Comment votre entreprise fixe-t-elle le prix des marchandises sur le marché canadien? Expliquez en détail les termes spécifiques à votre entreprise. Indiquez si ces pratiques générales de fixation des prix ont changé depuis le 1er janvier 2022.</v>
      </c>
      <c r="C345" s="695"/>
      <c r="D345" s="695"/>
      <c r="E345" s="695"/>
      <c r="F345" s="695"/>
      <c r="G345" s="695"/>
      <c r="H345" s="695"/>
      <c r="I345" s="695"/>
      <c r="J345" s="695"/>
      <c r="K345" s="695"/>
      <c r="L345" s="696"/>
      <c r="O345" s="17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2022.</v>
      </c>
      <c r="P345" s="17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2022.</v>
      </c>
    </row>
    <row r="346" spans="1:16" s="182" customFormat="1" x14ac:dyDescent="0.25">
      <c r="A346" s="204"/>
      <c r="B346" s="694"/>
      <c r="C346" s="695"/>
      <c r="D346" s="695"/>
      <c r="E346" s="695"/>
      <c r="F346" s="695"/>
      <c r="G346" s="695"/>
      <c r="H346" s="695"/>
      <c r="I346" s="695"/>
      <c r="J346" s="695"/>
      <c r="K346" s="695"/>
      <c r="L346" s="696"/>
      <c r="O346" s="178"/>
      <c r="P346" s="178"/>
    </row>
    <row r="347" spans="1:16" s="182" customFormat="1" x14ac:dyDescent="0.25">
      <c r="A347" s="204"/>
      <c r="B347" s="220"/>
      <c r="C347" s="221"/>
      <c r="D347" s="221"/>
      <c r="E347" s="221"/>
      <c r="F347" s="221"/>
      <c r="G347" s="221"/>
      <c r="H347" s="221"/>
      <c r="I347" s="221"/>
      <c r="J347" s="221"/>
      <c r="K347" s="221"/>
      <c r="L347" s="206"/>
      <c r="O347" s="178"/>
      <c r="P347" s="178"/>
    </row>
    <row r="348" spans="1:16" s="3" customFormat="1" x14ac:dyDescent="0.25">
      <c r="A348" s="15"/>
      <c r="B348" s="773"/>
      <c r="C348" s="774"/>
      <c r="D348" s="774"/>
      <c r="E348" s="774"/>
      <c r="F348" s="774"/>
      <c r="G348" s="774"/>
      <c r="H348" s="774"/>
      <c r="I348" s="774"/>
      <c r="J348" s="774"/>
      <c r="K348" s="774"/>
      <c r="L348" s="775"/>
      <c r="M348" s="182"/>
      <c r="O348" s="176"/>
      <c r="P348" s="176"/>
    </row>
    <row r="349" spans="1:16" s="3" customFormat="1" x14ac:dyDescent="0.25">
      <c r="A349" s="15"/>
      <c r="B349" s="773"/>
      <c r="C349" s="774"/>
      <c r="D349" s="774"/>
      <c r="E349" s="774"/>
      <c r="F349" s="774"/>
      <c r="G349" s="774"/>
      <c r="H349" s="774"/>
      <c r="I349" s="774"/>
      <c r="J349" s="774"/>
      <c r="K349" s="774"/>
      <c r="L349" s="775"/>
      <c r="M349" s="182"/>
      <c r="O349" s="176"/>
      <c r="P349" s="176"/>
    </row>
    <row r="350" spans="1:16" s="3" customFormat="1" x14ac:dyDescent="0.25">
      <c r="A350" s="15"/>
      <c r="B350" s="773"/>
      <c r="C350" s="774"/>
      <c r="D350" s="774"/>
      <c r="E350" s="774"/>
      <c r="F350" s="774"/>
      <c r="G350" s="774"/>
      <c r="H350" s="774"/>
      <c r="I350" s="774"/>
      <c r="J350" s="774"/>
      <c r="K350" s="774"/>
      <c r="L350" s="775"/>
      <c r="M350" s="182"/>
      <c r="O350" s="176"/>
      <c r="P350" s="176"/>
    </row>
    <row r="351" spans="1:16" s="3" customFormat="1" x14ac:dyDescent="0.25">
      <c r="A351" s="15"/>
      <c r="B351" s="773"/>
      <c r="C351" s="774"/>
      <c r="D351" s="774"/>
      <c r="E351" s="774"/>
      <c r="F351" s="774"/>
      <c r="G351" s="774"/>
      <c r="H351" s="774"/>
      <c r="I351" s="774"/>
      <c r="J351" s="774"/>
      <c r="K351" s="774"/>
      <c r="L351" s="775"/>
      <c r="M351" s="182"/>
      <c r="O351" s="176"/>
      <c r="P351" s="176"/>
    </row>
    <row r="352" spans="1:16" s="3" customFormat="1" x14ac:dyDescent="0.25">
      <c r="A352" s="15"/>
      <c r="B352" s="773"/>
      <c r="C352" s="774"/>
      <c r="D352" s="774"/>
      <c r="E352" s="774"/>
      <c r="F352" s="774"/>
      <c r="G352" s="774"/>
      <c r="H352" s="774"/>
      <c r="I352" s="774"/>
      <c r="J352" s="774"/>
      <c r="K352" s="774"/>
      <c r="L352" s="775"/>
      <c r="M352" s="182"/>
      <c r="O352" s="176"/>
      <c r="P352" s="176"/>
    </row>
    <row r="353" spans="1:16" s="3" customFormat="1" x14ac:dyDescent="0.25">
      <c r="A353" s="15"/>
      <c r="B353" s="773"/>
      <c r="C353" s="774"/>
      <c r="D353" s="774"/>
      <c r="E353" s="774"/>
      <c r="F353" s="774"/>
      <c r="G353" s="774"/>
      <c r="H353" s="774"/>
      <c r="I353" s="774"/>
      <c r="J353" s="774"/>
      <c r="K353" s="774"/>
      <c r="L353" s="775"/>
      <c r="M353" s="182"/>
      <c r="O353" s="176"/>
      <c r="P353" s="176"/>
    </row>
    <row r="354" spans="1:16" s="3" customFormat="1" x14ac:dyDescent="0.25">
      <c r="A354" s="15"/>
      <c r="B354" s="773"/>
      <c r="C354" s="774"/>
      <c r="D354" s="774"/>
      <c r="E354" s="774"/>
      <c r="F354" s="774"/>
      <c r="G354" s="774"/>
      <c r="H354" s="774"/>
      <c r="I354" s="774"/>
      <c r="J354" s="774"/>
      <c r="K354" s="774"/>
      <c r="L354" s="775"/>
      <c r="M354" s="182"/>
      <c r="O354" s="176"/>
      <c r="P354" s="176"/>
    </row>
    <row r="355" spans="1:16" s="3" customFormat="1" x14ac:dyDescent="0.25">
      <c r="A355" s="15"/>
      <c r="B355" s="773"/>
      <c r="C355" s="774"/>
      <c r="D355" s="774"/>
      <c r="E355" s="774"/>
      <c r="F355" s="774"/>
      <c r="G355" s="774"/>
      <c r="H355" s="774"/>
      <c r="I355" s="774"/>
      <c r="J355" s="774"/>
      <c r="K355" s="774"/>
      <c r="L355" s="775"/>
      <c r="M355" s="182"/>
      <c r="O355" s="176"/>
      <c r="P355" s="176"/>
    </row>
    <row r="356" spans="1:16" s="182" customFormat="1" x14ac:dyDescent="0.25">
      <c r="A356" s="204"/>
      <c r="B356" s="223"/>
      <c r="C356" s="224"/>
      <c r="D356" s="224"/>
      <c r="E356" s="224"/>
      <c r="F356" s="224"/>
      <c r="G356" s="224"/>
      <c r="H356" s="224"/>
      <c r="I356" s="224"/>
      <c r="J356" s="224"/>
      <c r="K356" s="224"/>
      <c r="L356" s="222"/>
      <c r="O356" s="178"/>
      <c r="P356" s="178"/>
    </row>
    <row r="357" spans="1:16" s="3" customFormat="1" x14ac:dyDescent="0.25">
      <c r="A357" s="15"/>
      <c r="B357" s="767" t="s">
        <v>328</v>
      </c>
      <c r="C357" s="768"/>
      <c r="D357" s="768"/>
      <c r="E357" s="768"/>
      <c r="F357" s="768"/>
      <c r="G357" s="768"/>
      <c r="H357" s="768"/>
      <c r="I357" s="768"/>
      <c r="J357" s="768"/>
      <c r="K357" s="768"/>
      <c r="L357" s="769"/>
      <c r="M357" s="216"/>
      <c r="O357" s="176"/>
      <c r="P357" s="176"/>
    </row>
    <row r="358" spans="1:16" s="182" customFormat="1" x14ac:dyDescent="0.25">
      <c r="A358" s="204"/>
      <c r="B358" s="220"/>
      <c r="C358" s="221"/>
      <c r="D358" s="221"/>
      <c r="E358" s="221"/>
      <c r="F358" s="221"/>
      <c r="G358" s="221"/>
      <c r="H358" s="221"/>
      <c r="I358" s="221"/>
      <c r="J358" s="221"/>
      <c r="K358" s="221"/>
      <c r="L358" s="206"/>
      <c r="O358" s="178"/>
      <c r="P358" s="178"/>
    </row>
    <row r="359" spans="1:16" s="182" customFormat="1" x14ac:dyDescent="0.25">
      <c r="A359" s="204"/>
      <c r="B359" s="694" t="str">
        <f>IF(Intro!$G$21="English",O359,P359)</f>
        <v>Fournissez des détails sur tous les facteurs autres que les coûts des matériaux (par exemple, les fluctuations du taux de change) qui ont affecté les prix des biens sur le marché canadien depuis le 1er janvier 2022.</v>
      </c>
      <c r="C359" s="695"/>
      <c r="D359" s="695"/>
      <c r="E359" s="695"/>
      <c r="F359" s="695"/>
      <c r="G359" s="695"/>
      <c r="H359" s="695"/>
      <c r="I359" s="695"/>
      <c r="J359" s="695"/>
      <c r="K359" s="695"/>
      <c r="L359" s="696"/>
      <c r="O359" s="17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2022.</v>
      </c>
      <c r="P359" s="178" t="str">
        <f>"Fournissez des détails sur tous les facteurs autres que les coûts des matériaux (par exemple, les fluctuations du taux de change) qui ont affecté les prix des biens sur le marché canadien depuis le 1er janvier "&amp;Variables!B6&amp;"."</f>
        <v>Fournissez des détails sur tous les facteurs autres que les coûts des matériaux (par exemple, les fluctuations du taux de change) qui ont affecté les prix des biens sur le marché canadien depuis le 1er janvier 2022.</v>
      </c>
    </row>
    <row r="360" spans="1:16" s="182" customFormat="1" x14ac:dyDescent="0.25">
      <c r="A360" s="204"/>
      <c r="B360" s="694"/>
      <c r="C360" s="695"/>
      <c r="D360" s="695"/>
      <c r="E360" s="695"/>
      <c r="F360" s="695"/>
      <c r="G360" s="695"/>
      <c r="H360" s="695"/>
      <c r="I360" s="695"/>
      <c r="J360" s="695"/>
      <c r="K360" s="695"/>
      <c r="L360" s="696"/>
      <c r="O360" s="178"/>
      <c r="P360" s="178"/>
    </row>
    <row r="361" spans="1:16" s="182" customFormat="1" x14ac:dyDescent="0.25">
      <c r="A361" s="204"/>
      <c r="B361" s="220"/>
      <c r="C361" s="221"/>
      <c r="D361" s="221"/>
      <c r="E361" s="221"/>
      <c r="F361" s="221"/>
      <c r="G361" s="221"/>
      <c r="H361" s="221"/>
      <c r="I361" s="221"/>
      <c r="J361" s="221"/>
      <c r="K361" s="221"/>
      <c r="L361" s="206"/>
      <c r="O361" s="178"/>
      <c r="P361" s="178"/>
    </row>
    <row r="362" spans="1:16" s="3" customFormat="1" x14ac:dyDescent="0.25">
      <c r="A362" s="15"/>
      <c r="B362" s="773"/>
      <c r="C362" s="774"/>
      <c r="D362" s="774"/>
      <c r="E362" s="774"/>
      <c r="F362" s="774"/>
      <c r="G362" s="774"/>
      <c r="H362" s="774"/>
      <c r="I362" s="774"/>
      <c r="J362" s="774"/>
      <c r="K362" s="774"/>
      <c r="L362" s="775"/>
      <c r="M362" s="182"/>
      <c r="O362" s="176"/>
      <c r="P362" s="176"/>
    </row>
    <row r="363" spans="1:16" s="3" customFormat="1" x14ac:dyDescent="0.25">
      <c r="A363" s="15"/>
      <c r="B363" s="773"/>
      <c r="C363" s="774"/>
      <c r="D363" s="774"/>
      <c r="E363" s="774"/>
      <c r="F363" s="774"/>
      <c r="G363" s="774"/>
      <c r="H363" s="774"/>
      <c r="I363" s="774"/>
      <c r="J363" s="774"/>
      <c r="K363" s="774"/>
      <c r="L363" s="775"/>
      <c r="M363" s="182"/>
      <c r="O363" s="176"/>
      <c r="P363" s="176"/>
    </row>
    <row r="364" spans="1:16" s="3" customFormat="1" x14ac:dyDescent="0.25">
      <c r="A364" s="15"/>
      <c r="B364" s="773"/>
      <c r="C364" s="774"/>
      <c r="D364" s="774"/>
      <c r="E364" s="774"/>
      <c r="F364" s="774"/>
      <c r="G364" s="774"/>
      <c r="H364" s="774"/>
      <c r="I364" s="774"/>
      <c r="J364" s="774"/>
      <c r="K364" s="774"/>
      <c r="L364" s="775"/>
      <c r="M364" s="182"/>
      <c r="O364" s="176"/>
      <c r="P364" s="176"/>
    </row>
    <row r="365" spans="1:16" s="3" customFormat="1" x14ac:dyDescent="0.25">
      <c r="A365" s="15"/>
      <c r="B365" s="773"/>
      <c r="C365" s="774"/>
      <c r="D365" s="774"/>
      <c r="E365" s="774"/>
      <c r="F365" s="774"/>
      <c r="G365" s="774"/>
      <c r="H365" s="774"/>
      <c r="I365" s="774"/>
      <c r="J365" s="774"/>
      <c r="K365" s="774"/>
      <c r="L365" s="775"/>
      <c r="M365" s="182"/>
      <c r="O365" s="176"/>
      <c r="P365" s="176"/>
    </row>
    <row r="366" spans="1:16" s="3" customFormat="1" x14ac:dyDescent="0.25">
      <c r="A366" s="15"/>
      <c r="B366" s="773"/>
      <c r="C366" s="774"/>
      <c r="D366" s="774"/>
      <c r="E366" s="774"/>
      <c r="F366" s="774"/>
      <c r="G366" s="774"/>
      <c r="H366" s="774"/>
      <c r="I366" s="774"/>
      <c r="J366" s="774"/>
      <c r="K366" s="774"/>
      <c r="L366" s="775"/>
      <c r="M366" s="182"/>
      <c r="O366" s="176"/>
      <c r="P366" s="176"/>
    </row>
    <row r="367" spans="1:16" s="3" customFormat="1" x14ac:dyDescent="0.25">
      <c r="A367" s="15"/>
      <c r="B367" s="773"/>
      <c r="C367" s="774"/>
      <c r="D367" s="774"/>
      <c r="E367" s="774"/>
      <c r="F367" s="774"/>
      <c r="G367" s="774"/>
      <c r="H367" s="774"/>
      <c r="I367" s="774"/>
      <c r="J367" s="774"/>
      <c r="K367" s="774"/>
      <c r="L367" s="775"/>
      <c r="M367" s="182"/>
      <c r="O367" s="176"/>
      <c r="P367" s="176"/>
    </row>
    <row r="368" spans="1:16" s="3" customFormat="1" x14ac:dyDescent="0.25">
      <c r="A368" s="15"/>
      <c r="B368" s="773"/>
      <c r="C368" s="774"/>
      <c r="D368" s="774"/>
      <c r="E368" s="774"/>
      <c r="F368" s="774"/>
      <c r="G368" s="774"/>
      <c r="H368" s="774"/>
      <c r="I368" s="774"/>
      <c r="J368" s="774"/>
      <c r="K368" s="774"/>
      <c r="L368" s="775"/>
      <c r="M368" s="182"/>
      <c r="O368" s="176"/>
      <c r="P368" s="176"/>
    </row>
    <row r="369" spans="1:16" s="3" customFormat="1" x14ac:dyDescent="0.25">
      <c r="A369" s="15"/>
      <c r="B369" s="773"/>
      <c r="C369" s="774"/>
      <c r="D369" s="774"/>
      <c r="E369" s="774"/>
      <c r="F369" s="774"/>
      <c r="G369" s="774"/>
      <c r="H369" s="774"/>
      <c r="I369" s="774"/>
      <c r="J369" s="774"/>
      <c r="K369" s="774"/>
      <c r="L369" s="775"/>
      <c r="M369" s="182"/>
      <c r="O369" s="176"/>
      <c r="P369" s="176"/>
    </row>
    <row r="370" spans="1:16" s="182" customFormat="1" x14ac:dyDescent="0.25">
      <c r="A370" s="204"/>
      <c r="B370" s="223"/>
      <c r="C370" s="224"/>
      <c r="D370" s="224"/>
      <c r="E370" s="224"/>
      <c r="F370" s="224"/>
      <c r="G370" s="224"/>
      <c r="H370" s="224"/>
      <c r="I370" s="224"/>
      <c r="J370" s="224"/>
      <c r="K370" s="224"/>
      <c r="L370" s="222"/>
      <c r="O370" s="178"/>
      <c r="P370" s="178"/>
    </row>
    <row r="371" spans="1:16" s="3" customFormat="1" x14ac:dyDescent="0.25">
      <c r="A371" s="15"/>
      <c r="B371" s="767" t="s">
        <v>329</v>
      </c>
      <c r="C371" s="768"/>
      <c r="D371" s="768"/>
      <c r="E371" s="768"/>
      <c r="F371" s="768"/>
      <c r="G371" s="768"/>
      <c r="H371" s="768"/>
      <c r="I371" s="768"/>
      <c r="J371" s="768"/>
      <c r="K371" s="768"/>
      <c r="L371" s="769"/>
      <c r="M371" s="216"/>
      <c r="O371" s="176"/>
      <c r="P371" s="176"/>
    </row>
    <row r="372" spans="1:16" s="182" customFormat="1" x14ac:dyDescent="0.25">
      <c r="A372" s="204"/>
      <c r="B372" s="220"/>
      <c r="C372" s="221"/>
      <c r="D372" s="221"/>
      <c r="E372" s="221"/>
      <c r="F372" s="221"/>
      <c r="G372" s="221"/>
      <c r="H372" s="221"/>
      <c r="I372" s="221"/>
      <c r="J372" s="221"/>
      <c r="K372" s="221"/>
      <c r="L372" s="206"/>
      <c r="O372" s="178"/>
      <c r="P372" s="178"/>
    </row>
    <row r="373" spans="1:16" s="182" customFormat="1" x14ac:dyDescent="0.25">
      <c r="A373" s="204"/>
      <c r="B373" s="778" t="str">
        <f>IF(Intro!$G$21="English",O373,P373)</f>
        <v>Décrivez comment les coûts de livraison des marchandises vendues par votre entreprise sont payés.</v>
      </c>
      <c r="C373" s="779"/>
      <c r="D373" s="779"/>
      <c r="E373" s="779"/>
      <c r="F373" s="779"/>
      <c r="G373" s="779"/>
      <c r="H373" s="779"/>
      <c r="I373" s="779"/>
      <c r="J373" s="779"/>
      <c r="K373" s="779"/>
      <c r="L373" s="780"/>
      <c r="O373" s="178" t="s">
        <v>306</v>
      </c>
      <c r="P373" s="178" t="s">
        <v>435</v>
      </c>
    </row>
    <row r="374" spans="1:16" s="182" customFormat="1" x14ac:dyDescent="0.25">
      <c r="A374" s="204"/>
      <c r="B374" s="220"/>
      <c r="C374" s="221"/>
      <c r="D374" s="221"/>
      <c r="E374" s="221"/>
      <c r="F374" s="221"/>
      <c r="G374" s="221"/>
      <c r="H374" s="221"/>
      <c r="I374" s="637" t="str">
        <f>IF(Intro!$G$21="English",O374,P374)</f>
        <v>Sélectionnez toutes les réponses qui s'appliquent.</v>
      </c>
      <c r="J374" s="221"/>
      <c r="K374" s="221"/>
      <c r="L374" s="206"/>
      <c r="O374" s="178" t="s">
        <v>937</v>
      </c>
      <c r="P374" s="178" t="s">
        <v>938</v>
      </c>
    </row>
    <row r="375" spans="1:16" s="157" customFormat="1" x14ac:dyDescent="0.25">
      <c r="A375" s="200"/>
      <c r="B375" s="793" t="str">
        <f>IF(Intro!$G$21="English",O375,P375)</f>
        <v>Votre entreprise s'occupe de la livraison et les frais de livraison sont inclus dans le prix de vente.</v>
      </c>
      <c r="C375" s="794"/>
      <c r="D375" s="794"/>
      <c r="E375" s="794"/>
      <c r="F375" s="794"/>
      <c r="G375" s="794"/>
      <c r="H375" s="795"/>
      <c r="I375" s="331"/>
      <c r="J375" s="221"/>
      <c r="K375" s="221"/>
      <c r="L375" s="206"/>
      <c r="O375" s="178" t="s">
        <v>750</v>
      </c>
      <c r="P375" s="332" t="s">
        <v>755</v>
      </c>
    </row>
    <row r="376" spans="1:16" s="157" customFormat="1" x14ac:dyDescent="0.25">
      <c r="A376" s="200"/>
      <c r="B376" s="793" t="str">
        <f>IF(Intro!$G$21="English",O376,P376)</f>
        <v>Votre entreprise s'occupe de la livraison mais les frais de livraison sont facturés séparément à l’acheteur.</v>
      </c>
      <c r="C376" s="794"/>
      <c r="D376" s="794"/>
      <c r="E376" s="794"/>
      <c r="F376" s="794"/>
      <c r="G376" s="794"/>
      <c r="H376" s="795"/>
      <c r="I376" s="331"/>
      <c r="J376" s="221"/>
      <c r="K376" s="221"/>
      <c r="L376" s="206"/>
      <c r="O376" s="178" t="s">
        <v>752</v>
      </c>
      <c r="P376" s="332" t="s">
        <v>754</v>
      </c>
    </row>
    <row r="377" spans="1:16" s="157" customFormat="1" x14ac:dyDescent="0.25">
      <c r="A377" s="200"/>
      <c r="B377" s="793" t="str">
        <f>IF(Intro!$G$21="English",O377,P377)</f>
        <v>La livraison et ses frais sont pris en charge par l’acheteur.</v>
      </c>
      <c r="C377" s="794"/>
      <c r="D377" s="794"/>
      <c r="E377" s="794"/>
      <c r="F377" s="794"/>
      <c r="G377" s="794"/>
      <c r="H377" s="795"/>
      <c r="I377" s="331"/>
      <c r="J377" s="221"/>
      <c r="K377" s="221"/>
      <c r="L377" s="206"/>
      <c r="O377" s="178" t="s">
        <v>751</v>
      </c>
      <c r="P377" s="332" t="s">
        <v>753</v>
      </c>
    </row>
    <row r="378" spans="1:16" s="182" customFormat="1" x14ac:dyDescent="0.25">
      <c r="A378" s="204"/>
      <c r="B378" s="220"/>
      <c r="C378" s="221"/>
      <c r="D378" s="221"/>
      <c r="E378" s="221"/>
      <c r="F378" s="221"/>
      <c r="G378" s="221"/>
      <c r="H378" s="221"/>
      <c r="I378" s="221"/>
      <c r="J378" s="221"/>
      <c r="K378" s="221"/>
      <c r="L378" s="206"/>
      <c r="O378" s="178"/>
      <c r="P378" s="178"/>
    </row>
    <row r="379" spans="1:16" s="182" customFormat="1" x14ac:dyDescent="0.25">
      <c r="A379" s="204"/>
      <c r="B379" s="778" t="str">
        <f>IF(Intro!$G$21="English",O379,P379)</f>
        <v>Expliquez si le mode de paiement de la livraison des marchandises vendues par votre entreprise a changé depuis le 1er janvier 2022.</v>
      </c>
      <c r="C379" s="779"/>
      <c r="D379" s="779"/>
      <c r="E379" s="779"/>
      <c r="F379" s="779"/>
      <c r="G379" s="779"/>
      <c r="H379" s="779"/>
      <c r="I379" s="779"/>
      <c r="J379" s="779"/>
      <c r="K379" s="779"/>
      <c r="L379" s="780"/>
      <c r="O379" s="178" t="str">
        <f>"Explain if the method of paying for delivery of the goods sold by your firm has changed since January 1, "&amp;Variables!B6&amp;"."</f>
        <v>Explain if the method of paying for delivery of the goods sold by your firm has changed since January 1, 2022.</v>
      </c>
      <c r="P379" s="17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2022.</v>
      </c>
    </row>
    <row r="380" spans="1:16" s="182" customFormat="1" x14ac:dyDescent="0.25">
      <c r="A380" s="204"/>
      <c r="B380" s="220"/>
      <c r="C380" s="221"/>
      <c r="D380" s="221"/>
      <c r="E380" s="221"/>
      <c r="F380" s="221"/>
      <c r="G380" s="221"/>
      <c r="H380" s="221"/>
      <c r="I380" s="221"/>
      <c r="J380" s="221"/>
      <c r="K380" s="221"/>
      <c r="L380" s="206"/>
      <c r="O380" s="178"/>
      <c r="P380" s="178"/>
    </row>
    <row r="381" spans="1:16" s="3" customFormat="1" x14ac:dyDescent="0.25">
      <c r="A381" s="15"/>
      <c r="B381" s="773"/>
      <c r="C381" s="774"/>
      <c r="D381" s="774"/>
      <c r="E381" s="774"/>
      <c r="F381" s="774"/>
      <c r="G381" s="774"/>
      <c r="H381" s="774"/>
      <c r="I381" s="774"/>
      <c r="J381" s="774"/>
      <c r="K381" s="774"/>
      <c r="L381" s="775"/>
      <c r="M381" s="182"/>
      <c r="O381" s="176"/>
      <c r="P381" s="176"/>
    </row>
    <row r="382" spans="1:16" s="3" customFormat="1" x14ac:dyDescent="0.25">
      <c r="A382" s="15"/>
      <c r="B382" s="773"/>
      <c r="C382" s="774"/>
      <c r="D382" s="774"/>
      <c r="E382" s="774"/>
      <c r="F382" s="774"/>
      <c r="G382" s="774"/>
      <c r="H382" s="774"/>
      <c r="I382" s="774"/>
      <c r="J382" s="774"/>
      <c r="K382" s="774"/>
      <c r="L382" s="775"/>
      <c r="M382" s="182"/>
      <c r="O382" s="176"/>
      <c r="P382" s="176"/>
    </row>
    <row r="383" spans="1:16" s="3" customFormat="1" x14ac:dyDescent="0.25">
      <c r="A383" s="15"/>
      <c r="B383" s="773"/>
      <c r="C383" s="774"/>
      <c r="D383" s="774"/>
      <c r="E383" s="774"/>
      <c r="F383" s="774"/>
      <c r="G383" s="774"/>
      <c r="H383" s="774"/>
      <c r="I383" s="774"/>
      <c r="J383" s="774"/>
      <c r="K383" s="774"/>
      <c r="L383" s="775"/>
      <c r="M383" s="182"/>
      <c r="O383" s="176"/>
      <c r="P383" s="176"/>
    </row>
    <row r="384" spans="1:16" s="3" customFormat="1" x14ac:dyDescent="0.25">
      <c r="A384" s="15"/>
      <c r="B384" s="773"/>
      <c r="C384" s="774"/>
      <c r="D384" s="774"/>
      <c r="E384" s="774"/>
      <c r="F384" s="774"/>
      <c r="G384" s="774"/>
      <c r="H384" s="774"/>
      <c r="I384" s="774"/>
      <c r="J384" s="774"/>
      <c r="K384" s="774"/>
      <c r="L384" s="775"/>
      <c r="M384" s="182"/>
      <c r="O384" s="176"/>
      <c r="P384" s="176"/>
    </row>
    <row r="385" spans="1:16" s="3" customFormat="1" x14ac:dyDescent="0.25">
      <c r="A385" s="15"/>
      <c r="B385" s="773"/>
      <c r="C385" s="774"/>
      <c r="D385" s="774"/>
      <c r="E385" s="774"/>
      <c r="F385" s="774"/>
      <c r="G385" s="774"/>
      <c r="H385" s="774"/>
      <c r="I385" s="774"/>
      <c r="J385" s="774"/>
      <c r="K385" s="774"/>
      <c r="L385" s="775"/>
      <c r="M385" s="182"/>
      <c r="O385" s="176"/>
      <c r="P385" s="176"/>
    </row>
    <row r="386" spans="1:16" s="3" customFormat="1" x14ac:dyDescent="0.25">
      <c r="A386" s="15"/>
      <c r="B386" s="773"/>
      <c r="C386" s="774"/>
      <c r="D386" s="774"/>
      <c r="E386" s="774"/>
      <c r="F386" s="774"/>
      <c r="G386" s="774"/>
      <c r="H386" s="774"/>
      <c r="I386" s="774"/>
      <c r="J386" s="774"/>
      <c r="K386" s="774"/>
      <c r="L386" s="775"/>
      <c r="M386" s="182"/>
      <c r="O386" s="176"/>
      <c r="P386" s="176"/>
    </row>
    <row r="387" spans="1:16" s="3" customFormat="1" x14ac:dyDescent="0.25">
      <c r="A387" s="15"/>
      <c r="B387" s="773"/>
      <c r="C387" s="774"/>
      <c r="D387" s="774"/>
      <c r="E387" s="774"/>
      <c r="F387" s="774"/>
      <c r="G387" s="774"/>
      <c r="H387" s="774"/>
      <c r="I387" s="774"/>
      <c r="J387" s="774"/>
      <c r="K387" s="774"/>
      <c r="L387" s="775"/>
      <c r="M387" s="182"/>
      <c r="O387" s="176"/>
      <c r="P387" s="176"/>
    </row>
    <row r="388" spans="1:16" s="3" customFormat="1" x14ac:dyDescent="0.25">
      <c r="A388" s="15"/>
      <c r="B388" s="773"/>
      <c r="C388" s="774"/>
      <c r="D388" s="774"/>
      <c r="E388" s="774"/>
      <c r="F388" s="774"/>
      <c r="G388" s="774"/>
      <c r="H388" s="774"/>
      <c r="I388" s="774"/>
      <c r="J388" s="774"/>
      <c r="K388" s="774"/>
      <c r="L388" s="775"/>
      <c r="M388" s="182"/>
      <c r="O388" s="176"/>
      <c r="P388" s="176"/>
    </row>
    <row r="389" spans="1:16" s="182" customFormat="1" x14ac:dyDescent="0.25">
      <c r="A389" s="204"/>
      <c r="B389" s="223"/>
      <c r="C389" s="224"/>
      <c r="D389" s="224"/>
      <c r="E389" s="224"/>
      <c r="F389" s="224"/>
      <c r="G389" s="224"/>
      <c r="H389" s="224"/>
      <c r="I389" s="224"/>
      <c r="J389" s="224"/>
      <c r="K389" s="224"/>
      <c r="L389" s="222"/>
      <c r="O389" s="178"/>
      <c r="P389" s="178"/>
    </row>
    <row r="390" spans="1:16" s="3" customFormat="1" x14ac:dyDescent="0.25">
      <c r="A390" s="15"/>
      <c r="B390" s="767" t="s">
        <v>330</v>
      </c>
      <c r="C390" s="768"/>
      <c r="D390" s="768"/>
      <c r="E390" s="768"/>
      <c r="F390" s="768"/>
      <c r="G390" s="768"/>
      <c r="H390" s="768"/>
      <c r="I390" s="768"/>
      <c r="J390" s="768"/>
      <c r="K390" s="768"/>
      <c r="L390" s="769"/>
      <c r="M390" s="216"/>
      <c r="O390" s="176"/>
      <c r="P390" s="176"/>
    </row>
    <row r="391" spans="1:16" s="182" customFormat="1" x14ac:dyDescent="0.25">
      <c r="A391" s="204"/>
      <c r="B391" s="220"/>
      <c r="C391" s="221"/>
      <c r="D391" s="221"/>
      <c r="E391" s="221"/>
      <c r="F391" s="221"/>
      <c r="G391" s="221"/>
      <c r="H391" s="221"/>
      <c r="I391" s="221"/>
      <c r="J391" s="221"/>
      <c r="K391" s="221"/>
      <c r="L391" s="206"/>
      <c r="O391" s="178"/>
      <c r="P391" s="178"/>
    </row>
    <row r="392" spans="1:16" s="182" customFormat="1" x14ac:dyDescent="0.25">
      <c r="A392" s="204"/>
      <c r="B392" s="778" t="str">
        <f>IF(Intro!$G$21="English",O392,P392)</f>
        <v>Expliquez si la demande pour les marchandises ou les ventes de marchandises ont changé depuis le 1er janvier 2022.</v>
      </c>
      <c r="C392" s="779"/>
      <c r="D392" s="779"/>
      <c r="E392" s="779"/>
      <c r="F392" s="779"/>
      <c r="G392" s="779"/>
      <c r="H392" s="779"/>
      <c r="I392" s="779"/>
      <c r="J392" s="779"/>
      <c r="K392" s="779"/>
      <c r="L392" s="780"/>
      <c r="O392" s="178" t="str">
        <f>"Explain if demand for the goods or sales of the goods have changed since January 1, "&amp;Variables!B6&amp;"."</f>
        <v>Explain if demand for the goods or sales of the goods have changed since January 1, 2022.</v>
      </c>
      <c r="P392" s="178" t="str">
        <f>"Expliquez si la demande pour les marchandises ou les ventes de marchandises ont changé depuis le 1er janvier "&amp;Variables!B6&amp;"."</f>
        <v>Expliquez si la demande pour les marchandises ou les ventes de marchandises ont changé depuis le 1er janvier 2022.</v>
      </c>
    </row>
    <row r="393" spans="1:16" s="182" customFormat="1" x14ac:dyDescent="0.25">
      <c r="A393" s="204"/>
      <c r="B393" s="220"/>
      <c r="C393" s="221"/>
      <c r="D393" s="221"/>
      <c r="E393" s="221"/>
      <c r="F393" s="221"/>
      <c r="G393" s="221"/>
      <c r="H393" s="221"/>
      <c r="I393" s="221"/>
      <c r="J393" s="221"/>
      <c r="K393" s="221"/>
      <c r="L393" s="206"/>
      <c r="O393" s="178"/>
      <c r="P393" s="178"/>
    </row>
    <row r="394" spans="1:16" s="3" customFormat="1" x14ac:dyDescent="0.25">
      <c r="A394" s="15"/>
      <c r="B394" s="773"/>
      <c r="C394" s="774"/>
      <c r="D394" s="774"/>
      <c r="E394" s="774"/>
      <c r="F394" s="774"/>
      <c r="G394" s="774"/>
      <c r="H394" s="774"/>
      <c r="I394" s="774"/>
      <c r="J394" s="774"/>
      <c r="K394" s="774"/>
      <c r="L394" s="775"/>
      <c r="M394" s="182"/>
      <c r="O394" s="176"/>
      <c r="P394" s="176"/>
    </row>
    <row r="395" spans="1:16" s="3" customFormat="1" x14ac:dyDescent="0.25">
      <c r="A395" s="15"/>
      <c r="B395" s="773"/>
      <c r="C395" s="774"/>
      <c r="D395" s="774"/>
      <c r="E395" s="774"/>
      <c r="F395" s="774"/>
      <c r="G395" s="774"/>
      <c r="H395" s="774"/>
      <c r="I395" s="774"/>
      <c r="J395" s="774"/>
      <c r="K395" s="774"/>
      <c r="L395" s="775"/>
      <c r="M395" s="182"/>
      <c r="O395" s="176"/>
      <c r="P395" s="176"/>
    </row>
    <row r="396" spans="1:16" s="3" customFormat="1" x14ac:dyDescent="0.25">
      <c r="A396" s="15"/>
      <c r="B396" s="773"/>
      <c r="C396" s="774"/>
      <c r="D396" s="774"/>
      <c r="E396" s="774"/>
      <c r="F396" s="774"/>
      <c r="G396" s="774"/>
      <c r="H396" s="774"/>
      <c r="I396" s="774"/>
      <c r="J396" s="774"/>
      <c r="K396" s="774"/>
      <c r="L396" s="775"/>
      <c r="M396" s="182"/>
      <c r="O396" s="176"/>
      <c r="P396" s="176"/>
    </row>
    <row r="397" spans="1:16" s="3" customFormat="1" x14ac:dyDescent="0.25">
      <c r="A397" s="15"/>
      <c r="B397" s="773"/>
      <c r="C397" s="774"/>
      <c r="D397" s="774"/>
      <c r="E397" s="774"/>
      <c r="F397" s="774"/>
      <c r="G397" s="774"/>
      <c r="H397" s="774"/>
      <c r="I397" s="774"/>
      <c r="J397" s="774"/>
      <c r="K397" s="774"/>
      <c r="L397" s="775"/>
      <c r="M397" s="182"/>
      <c r="O397" s="176"/>
      <c r="P397" s="176"/>
    </row>
    <row r="398" spans="1:16" s="3" customFormat="1" x14ac:dyDescent="0.25">
      <c r="A398" s="15"/>
      <c r="B398" s="773"/>
      <c r="C398" s="774"/>
      <c r="D398" s="774"/>
      <c r="E398" s="774"/>
      <c r="F398" s="774"/>
      <c r="G398" s="774"/>
      <c r="H398" s="774"/>
      <c r="I398" s="774"/>
      <c r="J398" s="774"/>
      <c r="K398" s="774"/>
      <c r="L398" s="775"/>
      <c r="M398" s="182"/>
      <c r="O398" s="176"/>
      <c r="P398" s="176"/>
    </row>
    <row r="399" spans="1:16" s="3" customFormat="1" x14ac:dyDescent="0.25">
      <c r="A399" s="15"/>
      <c r="B399" s="773"/>
      <c r="C399" s="774"/>
      <c r="D399" s="774"/>
      <c r="E399" s="774"/>
      <c r="F399" s="774"/>
      <c r="G399" s="774"/>
      <c r="H399" s="774"/>
      <c r="I399" s="774"/>
      <c r="J399" s="774"/>
      <c r="K399" s="774"/>
      <c r="L399" s="775"/>
      <c r="M399" s="182"/>
      <c r="O399" s="176"/>
      <c r="P399" s="176"/>
    </row>
    <row r="400" spans="1:16" s="3" customFormat="1" x14ac:dyDescent="0.25">
      <c r="A400" s="15"/>
      <c r="B400" s="773"/>
      <c r="C400" s="774"/>
      <c r="D400" s="774"/>
      <c r="E400" s="774"/>
      <c r="F400" s="774"/>
      <c r="G400" s="774"/>
      <c r="H400" s="774"/>
      <c r="I400" s="774"/>
      <c r="J400" s="774"/>
      <c r="K400" s="774"/>
      <c r="L400" s="775"/>
      <c r="M400" s="182"/>
      <c r="O400" s="176"/>
      <c r="P400" s="176"/>
    </row>
    <row r="401" spans="1:16" s="3" customFormat="1" x14ac:dyDescent="0.25">
      <c r="A401" s="15"/>
      <c r="B401" s="773"/>
      <c r="C401" s="774"/>
      <c r="D401" s="774"/>
      <c r="E401" s="774"/>
      <c r="F401" s="774"/>
      <c r="G401" s="774"/>
      <c r="H401" s="774"/>
      <c r="I401" s="774"/>
      <c r="J401" s="774"/>
      <c r="K401" s="774"/>
      <c r="L401" s="775"/>
      <c r="M401" s="182"/>
      <c r="O401" s="176"/>
      <c r="P401" s="176"/>
    </row>
    <row r="402" spans="1:16" s="182" customFormat="1" x14ac:dyDescent="0.25">
      <c r="A402" s="204"/>
      <c r="B402" s="223"/>
      <c r="C402" s="224"/>
      <c r="D402" s="224"/>
      <c r="E402" s="224"/>
      <c r="F402" s="224"/>
      <c r="G402" s="224"/>
      <c r="H402" s="224"/>
      <c r="I402" s="224"/>
      <c r="J402" s="224"/>
      <c r="K402" s="224"/>
      <c r="L402" s="222"/>
      <c r="O402" s="178"/>
      <c r="P402" s="178"/>
    </row>
    <row r="404" spans="1:16" x14ac:dyDescent="0.25">
      <c r="B404" s="35" t="str">
        <f>IF(Intro!$G$21="English",O404,P404)</f>
        <v>MARCHÉS</v>
      </c>
      <c r="C404" s="36"/>
      <c r="D404" s="36"/>
      <c r="E404" s="36"/>
      <c r="F404" s="36"/>
      <c r="G404" s="36"/>
      <c r="H404" s="36"/>
      <c r="I404" s="36"/>
      <c r="J404" s="36"/>
      <c r="K404" s="36"/>
      <c r="L404" s="37"/>
      <c r="M404" s="182"/>
      <c r="O404" s="257" t="s">
        <v>693</v>
      </c>
      <c r="P404" s="257" t="s">
        <v>694</v>
      </c>
    </row>
    <row r="405" spans="1:16" x14ac:dyDescent="0.25">
      <c r="B405" s="770" t="s">
        <v>345</v>
      </c>
      <c r="C405" s="771"/>
      <c r="D405" s="771"/>
      <c r="E405" s="771"/>
      <c r="F405" s="771"/>
      <c r="G405" s="771"/>
      <c r="H405" s="771"/>
      <c r="I405" s="771"/>
      <c r="J405" s="771"/>
      <c r="K405" s="771"/>
      <c r="L405" s="772"/>
      <c r="M405" s="2"/>
    </row>
    <row r="406" spans="1:16" s="12" customFormat="1" x14ac:dyDescent="0.25">
      <c r="A406" s="14"/>
      <c r="B406" s="31"/>
      <c r="C406" s="32"/>
      <c r="D406" s="32"/>
      <c r="E406" s="33"/>
      <c r="F406" s="33"/>
      <c r="G406" s="33"/>
      <c r="H406" s="33"/>
      <c r="I406" s="33"/>
      <c r="J406" s="33"/>
      <c r="K406" s="33"/>
      <c r="L406" s="34"/>
      <c r="O406" s="10"/>
      <c r="P406" s="10"/>
    </row>
    <row r="407" spans="1:16" s="12" customFormat="1" x14ac:dyDescent="0.25">
      <c r="A407" s="14"/>
      <c r="B407" s="672" t="str">
        <f>IF(Intro!$G$21="English",O407,P407)</f>
        <v>Décrivez les marchés des marchandises au Canada et dans le monde depuis le 1er janvier 2022. Les facteurs à prendre en compte dans votre réponse comprennent, sans s'y limiter, la demande, les ventes, les prix, l'utilisation de la capacité et les volumes d'importations des marchandises.</v>
      </c>
      <c r="C407" s="673"/>
      <c r="D407" s="673"/>
      <c r="E407" s="673"/>
      <c r="F407" s="673"/>
      <c r="G407" s="673"/>
      <c r="H407" s="673"/>
      <c r="I407" s="673"/>
      <c r="J407" s="673"/>
      <c r="K407" s="673"/>
      <c r="L407" s="674"/>
      <c r="O407" s="17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2022. Factors to consider in your response include, but are not limited to, demand, sales, prices, capacity utilization and import volumes of the goods.</v>
      </c>
      <c r="P407" s="10"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2022. Les facteurs à prendre en compte dans votre réponse comprennent, sans s'y limiter, la demande, les ventes, les prix, l'utilisation de la capacité et les volumes d'importations des marchandises.</v>
      </c>
    </row>
    <row r="408" spans="1:16" s="12" customFormat="1" x14ac:dyDescent="0.25">
      <c r="A408" s="14"/>
      <c r="B408" s="672"/>
      <c r="C408" s="673"/>
      <c r="D408" s="673"/>
      <c r="E408" s="673"/>
      <c r="F408" s="673"/>
      <c r="G408" s="673"/>
      <c r="H408" s="673"/>
      <c r="I408" s="673"/>
      <c r="J408" s="673"/>
      <c r="K408" s="673"/>
      <c r="L408" s="674"/>
      <c r="O408" s="177"/>
      <c r="P408" s="10"/>
    </row>
    <row r="409" spans="1:16" s="182" customFormat="1" x14ac:dyDescent="0.25">
      <c r="A409" s="204"/>
      <c r="B409" s="220"/>
      <c r="C409" s="221"/>
      <c r="D409" s="221"/>
      <c r="E409" s="221"/>
      <c r="F409" s="221"/>
      <c r="G409" s="221"/>
      <c r="H409" s="221"/>
      <c r="I409" s="221"/>
      <c r="J409" s="221"/>
      <c r="K409" s="221"/>
      <c r="L409" s="206"/>
      <c r="O409" s="178"/>
      <c r="P409" s="178"/>
    </row>
    <row r="410" spans="1:16" s="3" customFormat="1" x14ac:dyDescent="0.25">
      <c r="A410" s="15"/>
      <c r="B410" s="773"/>
      <c r="C410" s="774"/>
      <c r="D410" s="774"/>
      <c r="E410" s="774"/>
      <c r="F410" s="774"/>
      <c r="G410" s="774"/>
      <c r="H410" s="774"/>
      <c r="I410" s="774"/>
      <c r="J410" s="774"/>
      <c r="K410" s="774"/>
      <c r="L410" s="775"/>
      <c r="M410" s="182"/>
      <c r="O410" s="176"/>
      <c r="P410" s="176"/>
    </row>
    <row r="411" spans="1:16" s="3" customFormat="1" x14ac:dyDescent="0.25">
      <c r="A411" s="15"/>
      <c r="B411" s="773"/>
      <c r="C411" s="774"/>
      <c r="D411" s="774"/>
      <c r="E411" s="774"/>
      <c r="F411" s="774"/>
      <c r="G411" s="774"/>
      <c r="H411" s="774"/>
      <c r="I411" s="774"/>
      <c r="J411" s="774"/>
      <c r="K411" s="774"/>
      <c r="L411" s="775"/>
      <c r="M411" s="182"/>
      <c r="O411" s="176"/>
      <c r="P411" s="176"/>
    </row>
    <row r="412" spans="1:16" s="3" customFormat="1" x14ac:dyDescent="0.25">
      <c r="A412" s="15"/>
      <c r="B412" s="773"/>
      <c r="C412" s="774"/>
      <c r="D412" s="774"/>
      <c r="E412" s="774"/>
      <c r="F412" s="774"/>
      <c r="G412" s="774"/>
      <c r="H412" s="774"/>
      <c r="I412" s="774"/>
      <c r="J412" s="774"/>
      <c r="K412" s="774"/>
      <c r="L412" s="775"/>
      <c r="M412" s="182"/>
      <c r="O412" s="176"/>
      <c r="P412" s="176"/>
    </row>
    <row r="413" spans="1:16" s="3" customFormat="1" x14ac:dyDescent="0.25">
      <c r="A413" s="15"/>
      <c r="B413" s="773"/>
      <c r="C413" s="774"/>
      <c r="D413" s="774"/>
      <c r="E413" s="774"/>
      <c r="F413" s="774"/>
      <c r="G413" s="774"/>
      <c r="H413" s="774"/>
      <c r="I413" s="774"/>
      <c r="J413" s="774"/>
      <c r="K413" s="774"/>
      <c r="L413" s="775"/>
      <c r="M413" s="182"/>
      <c r="O413" s="176"/>
      <c r="P413" s="176"/>
    </row>
    <row r="414" spans="1:16" s="3" customFormat="1" x14ac:dyDescent="0.25">
      <c r="A414" s="15"/>
      <c r="B414" s="773"/>
      <c r="C414" s="774"/>
      <c r="D414" s="774"/>
      <c r="E414" s="774"/>
      <c r="F414" s="774"/>
      <c r="G414" s="774"/>
      <c r="H414" s="774"/>
      <c r="I414" s="774"/>
      <c r="J414" s="774"/>
      <c r="K414" s="774"/>
      <c r="L414" s="775"/>
      <c r="M414" s="182"/>
      <c r="O414" s="176"/>
      <c r="P414" s="176"/>
    </row>
    <row r="415" spans="1:16" s="3" customFormat="1" x14ac:dyDescent="0.25">
      <c r="A415" s="15"/>
      <c r="B415" s="773"/>
      <c r="C415" s="774"/>
      <c r="D415" s="774"/>
      <c r="E415" s="774"/>
      <c r="F415" s="774"/>
      <c r="G415" s="774"/>
      <c r="H415" s="774"/>
      <c r="I415" s="774"/>
      <c r="J415" s="774"/>
      <c r="K415" s="774"/>
      <c r="L415" s="775"/>
      <c r="M415" s="182"/>
      <c r="O415" s="176"/>
      <c r="P415" s="176"/>
    </row>
    <row r="416" spans="1:16" s="3" customFormat="1" x14ac:dyDescent="0.25">
      <c r="A416" s="15"/>
      <c r="B416" s="773"/>
      <c r="C416" s="774"/>
      <c r="D416" s="774"/>
      <c r="E416" s="774"/>
      <c r="F416" s="774"/>
      <c r="G416" s="774"/>
      <c r="H416" s="774"/>
      <c r="I416" s="774"/>
      <c r="J416" s="774"/>
      <c r="K416" s="774"/>
      <c r="L416" s="775"/>
      <c r="M416" s="182"/>
      <c r="O416" s="176"/>
      <c r="P416" s="176"/>
    </row>
    <row r="417" spans="1:16" s="3" customFormat="1" x14ac:dyDescent="0.25">
      <c r="A417" s="15"/>
      <c r="B417" s="773"/>
      <c r="C417" s="774"/>
      <c r="D417" s="774"/>
      <c r="E417" s="774"/>
      <c r="F417" s="774"/>
      <c r="G417" s="774"/>
      <c r="H417" s="774"/>
      <c r="I417" s="774"/>
      <c r="J417" s="774"/>
      <c r="K417" s="774"/>
      <c r="L417" s="775"/>
      <c r="M417" s="182"/>
      <c r="O417" s="176"/>
      <c r="P417" s="176"/>
    </row>
    <row r="418" spans="1:16" s="182" customFormat="1" x14ac:dyDescent="0.25">
      <c r="A418" s="204"/>
      <c r="B418" s="223"/>
      <c r="C418" s="224"/>
      <c r="D418" s="224"/>
      <c r="E418" s="224"/>
      <c r="F418" s="224"/>
      <c r="G418" s="224"/>
      <c r="H418" s="224"/>
      <c r="I418" s="224"/>
      <c r="J418" s="224"/>
      <c r="K418" s="224"/>
      <c r="L418" s="222"/>
      <c r="O418" s="178"/>
      <c r="P418" s="178"/>
    </row>
    <row r="419" spans="1:16" x14ac:dyDescent="0.25">
      <c r="B419" s="767" t="s">
        <v>346</v>
      </c>
      <c r="C419" s="768"/>
      <c r="D419" s="768"/>
      <c r="E419" s="768"/>
      <c r="F419" s="768"/>
      <c r="G419" s="768"/>
      <c r="H419" s="768"/>
      <c r="I419" s="768"/>
      <c r="J419" s="768"/>
      <c r="K419" s="768"/>
      <c r="L419" s="769"/>
      <c r="M419" s="2"/>
    </row>
    <row r="420" spans="1:16" s="12" customFormat="1" x14ac:dyDescent="0.25">
      <c r="A420" s="14"/>
      <c r="B420" s="31"/>
      <c r="C420" s="32"/>
      <c r="D420" s="32"/>
      <c r="E420" s="33"/>
      <c r="F420" s="33"/>
      <c r="G420" s="33"/>
      <c r="H420" s="33"/>
      <c r="I420" s="33"/>
      <c r="J420" s="33"/>
      <c r="K420" s="33"/>
      <c r="L420" s="34"/>
      <c r="O420" s="10"/>
      <c r="P420" s="10"/>
    </row>
    <row r="421" spans="1:16" s="12" customFormat="1" x14ac:dyDescent="0.25">
      <c r="A421" s="14"/>
      <c r="B421" s="694" t="str">
        <f>IF(Intro!$G$21="English",O421,P421)</f>
        <v>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v>
      </c>
      <c r="C421" s="695"/>
      <c r="D421" s="695"/>
      <c r="E421" s="695"/>
      <c r="F421" s="695"/>
      <c r="G421" s="695"/>
      <c r="H421" s="695"/>
      <c r="I421" s="695"/>
      <c r="J421" s="695"/>
      <c r="K421" s="695"/>
      <c r="L421" s="696"/>
      <c r="O421" s="177" t="s">
        <v>745</v>
      </c>
      <c r="P421" s="10" t="s">
        <v>641</v>
      </c>
    </row>
    <row r="422" spans="1:16" s="12" customFormat="1" x14ac:dyDescent="0.25">
      <c r="A422" s="14"/>
      <c r="B422" s="694"/>
      <c r="C422" s="695"/>
      <c r="D422" s="695"/>
      <c r="E422" s="695"/>
      <c r="F422" s="695"/>
      <c r="G422" s="695"/>
      <c r="H422" s="695"/>
      <c r="I422" s="695"/>
      <c r="J422" s="695"/>
      <c r="K422" s="695"/>
      <c r="L422" s="696"/>
      <c r="O422" s="177"/>
      <c r="P422" s="10"/>
    </row>
    <row r="423" spans="1:16" s="12" customFormat="1" x14ac:dyDescent="0.25">
      <c r="A423" s="14"/>
      <c r="B423" s="694"/>
      <c r="C423" s="695"/>
      <c r="D423" s="695"/>
      <c r="E423" s="695"/>
      <c r="F423" s="695"/>
      <c r="G423" s="695"/>
      <c r="H423" s="695"/>
      <c r="I423" s="695"/>
      <c r="J423" s="695"/>
      <c r="K423" s="695"/>
      <c r="L423" s="696"/>
      <c r="O423" s="177"/>
      <c r="P423" s="10"/>
    </row>
    <row r="424" spans="1:16" s="182" customFormat="1" x14ac:dyDescent="0.25">
      <c r="A424" s="204"/>
      <c r="B424" s="220"/>
      <c r="C424" s="221"/>
      <c r="D424" s="221"/>
      <c r="E424" s="221"/>
      <c r="F424" s="221"/>
      <c r="G424" s="221"/>
      <c r="H424" s="221"/>
      <c r="I424" s="221"/>
      <c r="J424" s="221"/>
      <c r="K424" s="221"/>
      <c r="L424" s="206"/>
      <c r="O424" s="178"/>
      <c r="P424" s="178"/>
    </row>
    <row r="425" spans="1:16" s="3" customFormat="1" x14ac:dyDescent="0.25">
      <c r="A425" s="15"/>
      <c r="B425" s="773"/>
      <c r="C425" s="774"/>
      <c r="D425" s="774"/>
      <c r="E425" s="774"/>
      <c r="F425" s="774"/>
      <c r="G425" s="774"/>
      <c r="H425" s="774"/>
      <c r="I425" s="774"/>
      <c r="J425" s="774"/>
      <c r="K425" s="774"/>
      <c r="L425" s="775"/>
      <c r="M425" s="182"/>
      <c r="O425" s="176"/>
      <c r="P425" s="176"/>
    </row>
    <row r="426" spans="1:16" s="3" customFormat="1" x14ac:dyDescent="0.25">
      <c r="A426" s="15"/>
      <c r="B426" s="773"/>
      <c r="C426" s="774"/>
      <c r="D426" s="774"/>
      <c r="E426" s="774"/>
      <c r="F426" s="774"/>
      <c r="G426" s="774"/>
      <c r="H426" s="774"/>
      <c r="I426" s="774"/>
      <c r="J426" s="774"/>
      <c r="K426" s="774"/>
      <c r="L426" s="775"/>
      <c r="M426" s="182"/>
      <c r="O426" s="176"/>
      <c r="P426" s="176"/>
    </row>
    <row r="427" spans="1:16" s="3" customFormat="1" x14ac:dyDescent="0.25">
      <c r="A427" s="15"/>
      <c r="B427" s="773"/>
      <c r="C427" s="774"/>
      <c r="D427" s="774"/>
      <c r="E427" s="774"/>
      <c r="F427" s="774"/>
      <c r="G427" s="774"/>
      <c r="H427" s="774"/>
      <c r="I427" s="774"/>
      <c r="J427" s="774"/>
      <c r="K427" s="774"/>
      <c r="L427" s="775"/>
      <c r="M427" s="182"/>
      <c r="O427" s="176"/>
      <c r="P427" s="176"/>
    </row>
    <row r="428" spans="1:16" s="3" customFormat="1" x14ac:dyDescent="0.25">
      <c r="A428" s="15"/>
      <c r="B428" s="773"/>
      <c r="C428" s="774"/>
      <c r="D428" s="774"/>
      <c r="E428" s="774"/>
      <c r="F428" s="774"/>
      <c r="G428" s="774"/>
      <c r="H428" s="774"/>
      <c r="I428" s="774"/>
      <c r="J428" s="774"/>
      <c r="K428" s="774"/>
      <c r="L428" s="775"/>
      <c r="M428" s="182"/>
      <c r="O428" s="176"/>
      <c r="P428" s="176"/>
    </row>
    <row r="429" spans="1:16" s="3" customFormat="1" x14ac:dyDescent="0.25">
      <c r="A429" s="15"/>
      <c r="B429" s="773"/>
      <c r="C429" s="774"/>
      <c r="D429" s="774"/>
      <c r="E429" s="774"/>
      <c r="F429" s="774"/>
      <c r="G429" s="774"/>
      <c r="H429" s="774"/>
      <c r="I429" s="774"/>
      <c r="J429" s="774"/>
      <c r="K429" s="774"/>
      <c r="L429" s="775"/>
      <c r="M429" s="182"/>
      <c r="O429" s="176"/>
      <c r="P429" s="176"/>
    </row>
    <row r="430" spans="1:16" s="3" customFormat="1" x14ac:dyDescent="0.25">
      <c r="A430" s="15"/>
      <c r="B430" s="773"/>
      <c r="C430" s="774"/>
      <c r="D430" s="774"/>
      <c r="E430" s="774"/>
      <c r="F430" s="774"/>
      <c r="G430" s="774"/>
      <c r="H430" s="774"/>
      <c r="I430" s="774"/>
      <c r="J430" s="774"/>
      <c r="K430" s="774"/>
      <c r="L430" s="775"/>
      <c r="M430" s="182"/>
      <c r="O430" s="176"/>
      <c r="P430" s="176"/>
    </row>
    <row r="431" spans="1:16" s="3" customFormat="1" x14ac:dyDescent="0.25">
      <c r="A431" s="15"/>
      <c r="B431" s="773"/>
      <c r="C431" s="774"/>
      <c r="D431" s="774"/>
      <c r="E431" s="774"/>
      <c r="F431" s="774"/>
      <c r="G431" s="774"/>
      <c r="H431" s="774"/>
      <c r="I431" s="774"/>
      <c r="J431" s="774"/>
      <c r="K431" s="774"/>
      <c r="L431" s="775"/>
      <c r="M431" s="182"/>
      <c r="O431" s="176"/>
      <c r="P431" s="176"/>
    </row>
    <row r="432" spans="1:16" s="3" customFormat="1" x14ac:dyDescent="0.25">
      <c r="A432" s="15"/>
      <c r="B432" s="773"/>
      <c r="C432" s="774"/>
      <c r="D432" s="774"/>
      <c r="E432" s="774"/>
      <c r="F432" s="774"/>
      <c r="G432" s="774"/>
      <c r="H432" s="774"/>
      <c r="I432" s="774"/>
      <c r="J432" s="774"/>
      <c r="K432" s="774"/>
      <c r="L432" s="775"/>
      <c r="M432" s="182"/>
      <c r="O432" s="176"/>
      <c r="P432" s="176"/>
    </row>
    <row r="433" spans="1:16" s="182" customFormat="1" x14ac:dyDescent="0.25">
      <c r="A433" s="204"/>
      <c r="B433" s="223"/>
      <c r="C433" s="224"/>
      <c r="D433" s="224"/>
      <c r="E433" s="224"/>
      <c r="F433" s="224"/>
      <c r="G433" s="224"/>
      <c r="H433" s="224"/>
      <c r="I433" s="224"/>
      <c r="J433" s="224"/>
      <c r="K433" s="224"/>
      <c r="L433" s="222"/>
      <c r="O433" s="178"/>
      <c r="P433" s="178"/>
    </row>
    <row r="434" spans="1:16" x14ac:dyDescent="0.25">
      <c r="B434" s="767" t="s">
        <v>736</v>
      </c>
      <c r="C434" s="768"/>
      <c r="D434" s="768"/>
      <c r="E434" s="768"/>
      <c r="F434" s="768"/>
      <c r="G434" s="768"/>
      <c r="H434" s="768"/>
      <c r="I434" s="768"/>
      <c r="J434" s="768"/>
      <c r="K434" s="768"/>
      <c r="L434" s="769"/>
      <c r="M434" s="2"/>
    </row>
    <row r="435" spans="1:16" s="12" customFormat="1" x14ac:dyDescent="0.25">
      <c r="A435" s="14"/>
      <c r="B435" s="31"/>
      <c r="C435" s="32"/>
      <c r="D435" s="32"/>
      <c r="E435" s="33"/>
      <c r="F435" s="33"/>
      <c r="G435" s="33"/>
      <c r="H435" s="33"/>
      <c r="I435" s="33"/>
      <c r="J435" s="33"/>
      <c r="K435" s="33"/>
      <c r="L435" s="34"/>
      <c r="O435" s="10"/>
      <c r="P435" s="10"/>
    </row>
    <row r="436" spans="1:16" s="12" customFormat="1" x14ac:dyDescent="0.25">
      <c r="A436" s="14"/>
      <c r="B436" s="672" t="str">
        <f>IF(Intro!$G$21="English",O436,P436)</f>
        <v>Expliquez les changements que vous prévoyez voir sur le marché canadien et sur d’autres marchés mondiaux pour les marchandises au cours des deux prochaines années en ce qui concerne la demande, les prix, l’utilisation des capacités, les volumes d’importation ou tout autre facteur.</v>
      </c>
      <c r="C436" s="673"/>
      <c r="D436" s="673"/>
      <c r="E436" s="673"/>
      <c r="F436" s="673"/>
      <c r="G436" s="673"/>
      <c r="H436" s="673"/>
      <c r="I436" s="673"/>
      <c r="J436" s="673"/>
      <c r="K436" s="673"/>
      <c r="L436" s="674"/>
      <c r="O436" s="17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10" t="s">
        <v>405</v>
      </c>
    </row>
    <row r="437" spans="1:16" s="12" customFormat="1" x14ac:dyDescent="0.25">
      <c r="A437" s="14"/>
      <c r="B437" s="672"/>
      <c r="C437" s="673"/>
      <c r="D437" s="673"/>
      <c r="E437" s="673"/>
      <c r="F437" s="673"/>
      <c r="G437" s="673"/>
      <c r="H437" s="673"/>
      <c r="I437" s="673"/>
      <c r="J437" s="673"/>
      <c r="K437" s="673"/>
      <c r="L437" s="674"/>
      <c r="O437" s="177"/>
      <c r="P437" s="10"/>
    </row>
    <row r="438" spans="1:16" s="182" customFormat="1" x14ac:dyDescent="0.25">
      <c r="A438" s="204"/>
      <c r="B438" s="220"/>
      <c r="C438" s="221"/>
      <c r="D438" s="221"/>
      <c r="E438" s="221"/>
      <c r="F438" s="221"/>
      <c r="G438" s="221"/>
      <c r="H438" s="221"/>
      <c r="I438" s="221"/>
      <c r="J438" s="221"/>
      <c r="K438" s="221"/>
      <c r="L438" s="206"/>
      <c r="O438" s="178"/>
      <c r="P438" s="178"/>
    </row>
    <row r="439" spans="1:16" s="3" customFormat="1" x14ac:dyDescent="0.25">
      <c r="A439" s="15"/>
      <c r="B439" s="773"/>
      <c r="C439" s="774"/>
      <c r="D439" s="774"/>
      <c r="E439" s="774"/>
      <c r="F439" s="774"/>
      <c r="G439" s="774"/>
      <c r="H439" s="774"/>
      <c r="I439" s="774"/>
      <c r="J439" s="774"/>
      <c r="K439" s="774"/>
      <c r="L439" s="775"/>
      <c r="M439" s="182"/>
      <c r="O439" s="176"/>
      <c r="P439" s="176"/>
    </row>
    <row r="440" spans="1:16" s="3" customFormat="1" x14ac:dyDescent="0.25">
      <c r="A440" s="15"/>
      <c r="B440" s="773"/>
      <c r="C440" s="774"/>
      <c r="D440" s="774"/>
      <c r="E440" s="774"/>
      <c r="F440" s="774"/>
      <c r="G440" s="774"/>
      <c r="H440" s="774"/>
      <c r="I440" s="774"/>
      <c r="J440" s="774"/>
      <c r="K440" s="774"/>
      <c r="L440" s="775"/>
      <c r="M440" s="182"/>
      <c r="O440" s="176"/>
      <c r="P440" s="176"/>
    </row>
    <row r="441" spans="1:16" s="3" customFormat="1" x14ac:dyDescent="0.25">
      <c r="A441" s="15"/>
      <c r="B441" s="773"/>
      <c r="C441" s="774"/>
      <c r="D441" s="774"/>
      <c r="E441" s="774"/>
      <c r="F441" s="774"/>
      <c r="G441" s="774"/>
      <c r="H441" s="774"/>
      <c r="I441" s="774"/>
      <c r="J441" s="774"/>
      <c r="K441" s="774"/>
      <c r="L441" s="775"/>
      <c r="M441" s="182"/>
      <c r="O441" s="176"/>
      <c r="P441" s="176"/>
    </row>
    <row r="442" spans="1:16" s="3" customFormat="1" x14ac:dyDescent="0.25">
      <c r="A442" s="15"/>
      <c r="B442" s="773"/>
      <c r="C442" s="774"/>
      <c r="D442" s="774"/>
      <c r="E442" s="774"/>
      <c r="F442" s="774"/>
      <c r="G442" s="774"/>
      <c r="H442" s="774"/>
      <c r="I442" s="774"/>
      <c r="J442" s="774"/>
      <c r="K442" s="774"/>
      <c r="L442" s="775"/>
      <c r="M442" s="182"/>
      <c r="O442" s="176"/>
      <c r="P442" s="176"/>
    </row>
    <row r="443" spans="1:16" s="3" customFormat="1" x14ac:dyDescent="0.25">
      <c r="A443" s="15"/>
      <c r="B443" s="773"/>
      <c r="C443" s="774"/>
      <c r="D443" s="774"/>
      <c r="E443" s="774"/>
      <c r="F443" s="774"/>
      <c r="G443" s="774"/>
      <c r="H443" s="774"/>
      <c r="I443" s="774"/>
      <c r="J443" s="774"/>
      <c r="K443" s="774"/>
      <c r="L443" s="775"/>
      <c r="M443" s="182"/>
      <c r="O443" s="176"/>
      <c r="P443" s="176"/>
    </row>
    <row r="444" spans="1:16" s="3" customFormat="1" x14ac:dyDescent="0.25">
      <c r="A444" s="15"/>
      <c r="B444" s="773"/>
      <c r="C444" s="774"/>
      <c r="D444" s="774"/>
      <c r="E444" s="774"/>
      <c r="F444" s="774"/>
      <c r="G444" s="774"/>
      <c r="H444" s="774"/>
      <c r="I444" s="774"/>
      <c r="J444" s="774"/>
      <c r="K444" s="774"/>
      <c r="L444" s="775"/>
      <c r="M444" s="182"/>
      <c r="O444" s="176"/>
      <c r="P444" s="176"/>
    </row>
    <row r="445" spans="1:16" s="3" customFormat="1" x14ac:dyDescent="0.25">
      <c r="A445" s="15"/>
      <c r="B445" s="773"/>
      <c r="C445" s="774"/>
      <c r="D445" s="774"/>
      <c r="E445" s="774"/>
      <c r="F445" s="774"/>
      <c r="G445" s="774"/>
      <c r="H445" s="774"/>
      <c r="I445" s="774"/>
      <c r="J445" s="774"/>
      <c r="K445" s="774"/>
      <c r="L445" s="775"/>
      <c r="M445" s="182"/>
      <c r="O445" s="176"/>
      <c r="P445" s="176"/>
    </row>
    <row r="446" spans="1:16" s="3" customFormat="1" x14ac:dyDescent="0.25">
      <c r="A446" s="15"/>
      <c r="B446" s="773"/>
      <c r="C446" s="774"/>
      <c r="D446" s="774"/>
      <c r="E446" s="774"/>
      <c r="F446" s="774"/>
      <c r="G446" s="774"/>
      <c r="H446" s="774"/>
      <c r="I446" s="774"/>
      <c r="J446" s="774"/>
      <c r="K446" s="774"/>
      <c r="L446" s="775"/>
      <c r="M446" s="182"/>
      <c r="O446" s="176"/>
      <c r="P446" s="176"/>
    </row>
    <row r="447" spans="1:16" s="182" customFormat="1" x14ac:dyDescent="0.25">
      <c r="A447" s="204"/>
      <c r="B447" s="223"/>
      <c r="C447" s="224"/>
      <c r="D447" s="224"/>
      <c r="E447" s="224"/>
      <c r="F447" s="224"/>
      <c r="G447" s="224"/>
      <c r="H447" s="224"/>
      <c r="I447" s="224"/>
      <c r="J447" s="224"/>
      <c r="K447" s="224"/>
      <c r="L447" s="222"/>
      <c r="O447" s="178"/>
      <c r="P447" s="178"/>
    </row>
    <row r="448" spans="1:16" s="156" customFormat="1" x14ac:dyDescent="0.25">
      <c r="A448" s="46"/>
      <c r="B448" s="796" t="s">
        <v>737</v>
      </c>
      <c r="C448" s="797"/>
      <c r="D448" s="797"/>
      <c r="E448" s="797"/>
      <c r="F448" s="798"/>
      <c r="G448" s="798"/>
      <c r="H448" s="798"/>
      <c r="I448" s="798"/>
      <c r="J448" s="798"/>
      <c r="K448" s="798"/>
      <c r="L448" s="799"/>
      <c r="M448" s="168"/>
    </row>
    <row r="449" spans="1:17" s="156" customFormat="1" x14ac:dyDescent="0.25">
      <c r="A449" s="46"/>
      <c r="B449" s="312"/>
      <c r="C449" s="313"/>
      <c r="D449" s="313"/>
      <c r="E449" s="313"/>
      <c r="F449" s="314"/>
      <c r="G449" s="314"/>
      <c r="H449" s="314"/>
      <c r="I449" s="314"/>
      <c r="J449" s="314"/>
      <c r="K449" s="314"/>
      <c r="L449" s="229"/>
      <c r="M449" s="168"/>
    </row>
    <row r="450" spans="1:17" s="156" customFormat="1" x14ac:dyDescent="0.25">
      <c r="A450" s="46"/>
      <c r="B450" s="712" t="str">
        <f>IF(Intro!$G$21="English",O450,P450)</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50" s="713"/>
      <c r="D450" s="713"/>
      <c r="E450" s="713"/>
      <c r="F450" s="713"/>
      <c r="G450" s="713"/>
      <c r="H450" s="713"/>
      <c r="I450" s="713"/>
      <c r="J450" s="713"/>
      <c r="K450" s="713"/>
      <c r="L450" s="714"/>
      <c r="M450" s="168"/>
      <c r="O450" s="315" t="s">
        <v>734</v>
      </c>
      <c r="P450" s="316" t="s">
        <v>735</v>
      </c>
      <c r="Q450" s="316"/>
    </row>
    <row r="451" spans="1:17" s="156" customFormat="1" x14ac:dyDescent="0.25">
      <c r="A451" s="46"/>
      <c r="B451" s="712"/>
      <c r="C451" s="713"/>
      <c r="D451" s="713"/>
      <c r="E451" s="713"/>
      <c r="F451" s="713"/>
      <c r="G451" s="713"/>
      <c r="H451" s="713"/>
      <c r="I451" s="713"/>
      <c r="J451" s="713"/>
      <c r="K451" s="713"/>
      <c r="L451" s="714"/>
      <c r="M451" s="168"/>
      <c r="O451" s="315"/>
      <c r="P451" s="317"/>
      <c r="Q451" s="317"/>
    </row>
    <row r="452" spans="1:17" s="156" customFormat="1" x14ac:dyDescent="0.25">
      <c r="A452" s="46"/>
      <c r="B452" s="309"/>
      <c r="C452" s="166"/>
      <c r="D452" s="166"/>
      <c r="E452" s="166"/>
      <c r="F452" s="166"/>
      <c r="G452" s="166"/>
      <c r="H452" s="166"/>
      <c r="I452" s="166"/>
      <c r="J452" s="166"/>
      <c r="K452" s="166"/>
      <c r="L452" s="310"/>
      <c r="M452" s="168"/>
      <c r="O452" s="318"/>
      <c r="P452" s="318"/>
      <c r="Q452" s="319"/>
    </row>
    <row r="453" spans="1:17" s="47" customFormat="1" x14ac:dyDescent="0.25">
      <c r="A453" s="46"/>
      <c r="B453" s="800"/>
      <c r="C453" s="801"/>
      <c r="D453" s="801"/>
      <c r="E453" s="801"/>
      <c r="F453" s="801"/>
      <c r="G453" s="801"/>
      <c r="H453" s="801"/>
      <c r="I453" s="801"/>
      <c r="J453" s="801"/>
      <c r="K453" s="801"/>
      <c r="L453" s="802"/>
      <c r="M453" s="167"/>
      <c r="Q453" s="156"/>
    </row>
    <row r="454" spans="1:17" s="47" customFormat="1" x14ac:dyDescent="0.25">
      <c r="A454" s="46"/>
      <c r="B454" s="800"/>
      <c r="C454" s="801"/>
      <c r="D454" s="801"/>
      <c r="E454" s="801"/>
      <c r="F454" s="801"/>
      <c r="G454" s="801"/>
      <c r="H454" s="801"/>
      <c r="I454" s="801"/>
      <c r="J454" s="801"/>
      <c r="K454" s="801"/>
      <c r="L454" s="802"/>
      <c r="M454" s="167"/>
      <c r="Q454" s="156"/>
    </row>
    <row r="455" spans="1:17" s="3" customFormat="1" x14ac:dyDescent="0.25">
      <c r="A455" s="15"/>
      <c r="B455" s="800"/>
      <c r="C455" s="801"/>
      <c r="D455" s="801"/>
      <c r="E455" s="801"/>
      <c r="F455" s="801"/>
      <c r="G455" s="801"/>
      <c r="H455" s="801"/>
      <c r="I455" s="801"/>
      <c r="J455" s="801"/>
      <c r="K455" s="801"/>
      <c r="L455" s="802"/>
      <c r="M455" s="182"/>
      <c r="O455" s="176"/>
      <c r="P455" s="176"/>
    </row>
    <row r="456" spans="1:17" s="3" customFormat="1" x14ac:dyDescent="0.25">
      <c r="A456" s="15"/>
      <c r="B456" s="800"/>
      <c r="C456" s="801"/>
      <c r="D456" s="801"/>
      <c r="E456" s="801"/>
      <c r="F456" s="801"/>
      <c r="G456" s="801"/>
      <c r="H456" s="801"/>
      <c r="I456" s="801"/>
      <c r="J456" s="801"/>
      <c r="K456" s="801"/>
      <c r="L456" s="802"/>
      <c r="M456" s="182"/>
      <c r="O456" s="176"/>
      <c r="P456" s="176"/>
    </row>
    <row r="457" spans="1:17" s="47" customFormat="1" x14ac:dyDescent="0.25">
      <c r="A457" s="46"/>
      <c r="B457" s="800"/>
      <c r="C457" s="801"/>
      <c r="D457" s="801"/>
      <c r="E457" s="801"/>
      <c r="F457" s="801"/>
      <c r="G457" s="801"/>
      <c r="H457" s="801"/>
      <c r="I457" s="801"/>
      <c r="J457" s="801"/>
      <c r="K457" s="801"/>
      <c r="L457" s="802"/>
      <c r="M457" s="167"/>
      <c r="Q457" s="156"/>
    </row>
    <row r="458" spans="1:17" s="47" customFormat="1" x14ac:dyDescent="0.25">
      <c r="A458" s="46"/>
      <c r="B458" s="800"/>
      <c r="C458" s="801"/>
      <c r="D458" s="801"/>
      <c r="E458" s="801"/>
      <c r="F458" s="801"/>
      <c r="G458" s="801"/>
      <c r="H458" s="801"/>
      <c r="I458" s="801"/>
      <c r="J458" s="801"/>
      <c r="K458" s="801"/>
      <c r="L458" s="802"/>
      <c r="M458" s="167"/>
      <c r="Q458" s="156"/>
    </row>
    <row r="459" spans="1:17" s="47" customFormat="1" x14ac:dyDescent="0.25">
      <c r="A459" s="46"/>
      <c r="B459" s="800"/>
      <c r="C459" s="801"/>
      <c r="D459" s="801"/>
      <c r="E459" s="801"/>
      <c r="F459" s="801"/>
      <c r="G459" s="801"/>
      <c r="H459" s="801"/>
      <c r="I459" s="801"/>
      <c r="J459" s="801"/>
      <c r="K459" s="801"/>
      <c r="L459" s="802"/>
      <c r="M459" s="167"/>
      <c r="Q459" s="156"/>
    </row>
    <row r="460" spans="1:17" s="47" customFormat="1" x14ac:dyDescent="0.25">
      <c r="A460" s="46"/>
      <c r="B460" s="800"/>
      <c r="C460" s="801"/>
      <c r="D460" s="801"/>
      <c r="E460" s="801"/>
      <c r="F460" s="801"/>
      <c r="G460" s="801"/>
      <c r="H460" s="801"/>
      <c r="I460" s="801"/>
      <c r="J460" s="801"/>
      <c r="K460" s="801"/>
      <c r="L460" s="802"/>
      <c r="M460" s="167"/>
      <c r="Q460" s="156"/>
    </row>
    <row r="461" spans="1:17" s="156" customFormat="1" x14ac:dyDescent="0.25">
      <c r="A461" s="46"/>
      <c r="B461" s="803"/>
      <c r="C461" s="804"/>
      <c r="D461" s="804"/>
      <c r="E461" s="804"/>
      <c r="F461" s="804"/>
      <c r="G461" s="804"/>
      <c r="H461" s="804"/>
      <c r="I461" s="804"/>
      <c r="J461" s="804"/>
      <c r="K461" s="804"/>
      <c r="L461" s="805"/>
      <c r="M461" s="168"/>
    </row>
  </sheetData>
  <sheetProtection algorithmName="SHA-512" hashValue="1zhs8Z5pUZYiZntRY/HGwTkLxMt/yX01d4d1IOPUjjBhqNTpSxTV+T5fKj7iJafFgE8Lcf9f/zvj3Rb0IUF1YA==" saltValue="9+GwWUTxzZJSDLrsI9EHcQ==" spinCount="100000" sheet="1" objects="1" scenarios="1" selectLockedCells="1"/>
  <mergeCells count="193">
    <mergeCell ref="B375:H375"/>
    <mergeCell ref="B376:H376"/>
    <mergeCell ref="B377:H377"/>
    <mergeCell ref="B448:L448"/>
    <mergeCell ref="B450:L451"/>
    <mergeCell ref="B453:L460"/>
    <mergeCell ref="B461:L461"/>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B4:L4"/>
    <mergeCell ref="B5:L5"/>
    <mergeCell ref="B6:L6"/>
    <mergeCell ref="J32:L33"/>
    <mergeCell ref="B12:L12"/>
    <mergeCell ref="B8:L8"/>
    <mergeCell ref="B9:L9"/>
    <mergeCell ref="B10:L10"/>
    <mergeCell ref="B55:L55"/>
    <mergeCell ref="C44:D45"/>
    <mergeCell ref="E44:F45"/>
    <mergeCell ref="G44:I45"/>
    <mergeCell ref="J44:L45"/>
    <mergeCell ref="C46:D47"/>
    <mergeCell ref="E46:F47"/>
    <mergeCell ref="G46:I47"/>
    <mergeCell ref="E42:F43"/>
    <mergeCell ref="G42:I43"/>
    <mergeCell ref="J42:L43"/>
    <mergeCell ref="B15:L15"/>
    <mergeCell ref="C32:D33"/>
    <mergeCell ref="E32:F33"/>
    <mergeCell ref="G32:I33"/>
    <mergeCell ref="B17:L24"/>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89:L89"/>
    <mergeCell ref="C91:D96"/>
    <mergeCell ref="E91:F96"/>
    <mergeCell ref="G91:H96"/>
    <mergeCell ref="I91:J96"/>
    <mergeCell ref="K91:L96"/>
    <mergeCell ref="B83:L83"/>
    <mergeCell ref="B57:L57"/>
    <mergeCell ref="B70:L70"/>
    <mergeCell ref="B46:B47"/>
    <mergeCell ref="B48:B49"/>
    <mergeCell ref="B50:B51"/>
    <mergeCell ref="B52:B53"/>
    <mergeCell ref="B59:L66"/>
    <mergeCell ref="G48:I49"/>
    <mergeCell ref="J48:L49"/>
    <mergeCell ref="C50:D51"/>
    <mergeCell ref="E50:F51"/>
    <mergeCell ref="G50:I51"/>
    <mergeCell ref="J50:L51"/>
    <mergeCell ref="C52:D53"/>
    <mergeCell ref="E52:F53"/>
    <mergeCell ref="J46:L47"/>
    <mergeCell ref="C48:D49"/>
    <mergeCell ref="E48:F49"/>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D167:L167"/>
    <mergeCell ref="B163:L163"/>
    <mergeCell ref="B44:B45"/>
    <mergeCell ref="B439:L446"/>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G117:H126"/>
    <mergeCell ref="I117:J126"/>
    <mergeCell ref="K117:L126"/>
    <mergeCell ref="B127:B136"/>
    <mergeCell ref="C127:D136"/>
    <mergeCell ref="E127:F136"/>
    <mergeCell ref="G127:H136"/>
    <mergeCell ref="B291:L298"/>
    <mergeCell ref="B436:L437"/>
    <mergeCell ref="B211:D215"/>
    <mergeCell ref="E211:L215"/>
    <mergeCell ref="B219:L220"/>
    <mergeCell ref="B233:L234"/>
    <mergeCell ref="B260:L261"/>
    <mergeCell ref="B302:L303"/>
    <mergeCell ref="B331:L332"/>
    <mergeCell ref="B345:L346"/>
    <mergeCell ref="B359:L360"/>
    <mergeCell ref="B425:L432"/>
    <mergeCell ref="B305:L312"/>
    <mergeCell ref="B320:L327"/>
    <mergeCell ref="B334:L341"/>
    <mergeCell ref="B348:L355"/>
    <mergeCell ref="B362:L369"/>
    <mergeCell ref="B381:L388"/>
    <mergeCell ref="B394:L401"/>
    <mergeCell ref="B410:L417"/>
    <mergeCell ref="B407:L408"/>
    <mergeCell ref="B379:L379"/>
    <mergeCell ref="B373:L373"/>
    <mergeCell ref="B318:L318"/>
    <mergeCell ref="B222:L229"/>
    <mergeCell ref="B329:L329"/>
    <mergeCell ref="B343:L343"/>
    <mergeCell ref="B357:L357"/>
    <mergeCell ref="B371:L371"/>
    <mergeCell ref="B390:L390"/>
    <mergeCell ref="B405:L405"/>
    <mergeCell ref="B419:L419"/>
    <mergeCell ref="B434:L434"/>
    <mergeCell ref="B13:L13"/>
    <mergeCell ref="B26:L26"/>
    <mergeCell ref="B68:L68"/>
    <mergeCell ref="B81:L81"/>
    <mergeCell ref="B87:L87"/>
    <mergeCell ref="B148:L148"/>
    <mergeCell ref="B169:L169"/>
    <mergeCell ref="B182:L182"/>
    <mergeCell ref="B197:L197"/>
    <mergeCell ref="B421:L423"/>
    <mergeCell ref="B72:L79"/>
    <mergeCell ref="B152:L159"/>
    <mergeCell ref="B173:L180"/>
    <mergeCell ref="B186:L193"/>
    <mergeCell ref="B236:L243"/>
    <mergeCell ref="B249:L256"/>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5 B439 B441 B455 B59 B453 B188:B189 B236:B238 B252:B253 B267:B268 B281:B282 B294:B295 B308:B309 B322:B323 B336:B337 B350 B364 B383 B396 B412 B427"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63" xr:uid="{51751D26-3857-4105-8CD2-B60852B0348B}">
      <formula1>1000</formula1>
    </dataValidation>
    <dataValidation allowBlank="1" sqref="C34:L53 C97:L146 D165:L167 E201:L215" xr:uid="{8E92C482-4B62-4AC6-B97C-0CD397EFB58A}"/>
  </dataValidations>
  <printOptions horizontalCentered="1"/>
  <pageMargins left="0.25" right="0.25" top="0.75" bottom="0.75" header="0.3" footer="0.3"/>
  <pageSetup scale="63" firstPageNumber="6" fitToHeight="0" orientation="portrait" r:id="rId1"/>
  <headerFooter>
    <oddFooter>&amp;L&amp;A</oddFooter>
  </headerFooter>
  <rowBreaks count="5" manualBreakCount="5">
    <brk id="67" min="1" max="11" man="1"/>
    <brk id="85" min="1" max="11" man="1"/>
    <brk id="147" min="1" max="11" man="1"/>
    <brk id="216" min="1" max="11" man="1"/>
    <brk id="41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Variables!$D$46:$D$47</xm:f>
          </x14:formula1>
          <xm:sqref>I375:I377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zoomScaleNormal="10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25.28515625" style="2" hidden="1" customWidth="1"/>
    <col min="16" max="16" width="28.42578125" style="2" hidden="1" customWidth="1"/>
    <col min="17" max="17" width="9.28515625" style="2" customWidth="1"/>
    <col min="18" max="16384" width="9.28515625" style="2"/>
  </cols>
  <sheetData>
    <row r="1" spans="1:16" x14ac:dyDescent="0.25">
      <c r="O1" s="3" t="s">
        <v>169</v>
      </c>
      <c r="P1" s="3" t="s">
        <v>170</v>
      </c>
    </row>
    <row r="2" spans="1:16" x14ac:dyDescent="0.25">
      <c r="B2" s="27" t="s">
        <v>0</v>
      </c>
      <c r="C2" s="27"/>
      <c r="O2" s="9"/>
      <c r="P2" s="9"/>
    </row>
    <row r="3" spans="1:16" x14ac:dyDescent="0.25">
      <c r="B3" s="28"/>
      <c r="C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VAISSELLE EN FIBRE MOULÉE THERMOFORMÉE</v>
      </c>
      <c r="C6" s="715"/>
      <c r="D6" s="715"/>
      <c r="E6" s="715"/>
      <c r="F6" s="715"/>
      <c r="G6" s="715"/>
      <c r="H6" s="715"/>
      <c r="I6" s="715"/>
      <c r="J6" s="715"/>
      <c r="K6" s="715"/>
      <c r="L6" s="715"/>
      <c r="M6" s="17"/>
      <c r="N6" s="17"/>
      <c r="O6" s="19"/>
      <c r="P6" s="19"/>
    </row>
    <row r="7" spans="1:16" s="10" customFormat="1" x14ac:dyDescent="0.25">
      <c r="A7" s="20"/>
      <c r="B7" s="29"/>
      <c r="C7" s="29"/>
      <c r="D7" s="30"/>
      <c r="E7" s="30"/>
      <c r="F7" s="30"/>
      <c r="G7" s="30"/>
      <c r="H7" s="30"/>
      <c r="I7" s="30"/>
      <c r="J7" s="30"/>
      <c r="K7" s="30"/>
      <c r="L7" s="30"/>
      <c r="O7" s="11"/>
      <c r="P7" s="11"/>
    </row>
    <row r="8" spans="1:16" x14ac:dyDescent="0.25">
      <c r="B8" s="35" t="str">
        <f>UPPER(IF(Intro!$G$21="English",O8,P8))</f>
        <v>COMMENTAIRES PUBLICS</v>
      </c>
      <c r="C8" s="36"/>
      <c r="D8" s="36"/>
      <c r="E8" s="36"/>
      <c r="F8" s="36"/>
      <c r="G8" s="36"/>
      <c r="H8" s="36"/>
      <c r="I8" s="36"/>
      <c r="J8" s="36"/>
      <c r="K8" s="36"/>
      <c r="L8" s="37"/>
      <c r="M8" s="157"/>
      <c r="O8" s="2" t="s">
        <v>153</v>
      </c>
      <c r="P8" s="2" t="s">
        <v>154</v>
      </c>
    </row>
    <row r="9" spans="1:16" s="12" customFormat="1" x14ac:dyDescent="0.25">
      <c r="A9" s="14"/>
      <c r="B9" s="31"/>
      <c r="C9" s="32"/>
      <c r="D9" s="33"/>
      <c r="E9" s="33"/>
      <c r="F9" s="33"/>
      <c r="G9" s="33"/>
      <c r="H9" s="33"/>
      <c r="I9" s="33"/>
      <c r="J9" s="33"/>
      <c r="K9" s="33"/>
      <c r="L9" s="34"/>
    </row>
    <row r="10" spans="1:16" s="12" customFormat="1" x14ac:dyDescent="0.25">
      <c r="A10" s="14"/>
      <c r="B10" s="672" t="str">
        <f>IF(Intro!$G$21="English",O10,P10)</f>
        <v>Si votre entreprise désire ajouter des commentaires concernant vos réponses, vous les inscrivez ici. Indiquez à quelle question se rapportent vos commentaires.</v>
      </c>
      <c r="C10" s="673"/>
      <c r="D10" s="673"/>
      <c r="E10" s="673"/>
      <c r="F10" s="673"/>
      <c r="G10" s="673"/>
      <c r="H10" s="673"/>
      <c r="I10" s="673"/>
      <c r="J10" s="673"/>
      <c r="K10" s="673"/>
      <c r="L10" s="674"/>
      <c r="O10" s="13" t="s">
        <v>601</v>
      </c>
      <c r="P10" s="12" t="s">
        <v>437</v>
      </c>
    </row>
    <row r="11" spans="1:16" s="12" customFormat="1" x14ac:dyDescent="0.25">
      <c r="A11" s="14"/>
      <c r="B11" s="186"/>
      <c r="C11" s="32"/>
      <c r="D11" s="33"/>
      <c r="E11" s="33"/>
      <c r="F11" s="33"/>
      <c r="G11" s="33"/>
      <c r="H11" s="33"/>
      <c r="I11" s="33"/>
      <c r="J11" s="33"/>
      <c r="K11" s="33"/>
      <c r="L11" s="34"/>
      <c r="O11" s="13"/>
    </row>
    <row r="12" spans="1:16" s="12" customFormat="1" x14ac:dyDescent="0.25">
      <c r="A12" s="14"/>
      <c r="B12" s="186"/>
      <c r="C12" s="32"/>
      <c r="D12" s="273" t="s">
        <v>289</v>
      </c>
      <c r="E12" s="824" t="str">
        <f>IF(Intro!$G$21="English",O12,P12)</f>
        <v>Commentaires</v>
      </c>
      <c r="F12" s="824"/>
      <c r="G12" s="824"/>
      <c r="H12" s="824"/>
      <c r="I12" s="824"/>
      <c r="J12" s="824"/>
      <c r="K12" s="824"/>
      <c r="L12" s="825"/>
      <c r="O12" s="13" t="s">
        <v>290</v>
      </c>
      <c r="P12" s="12" t="s">
        <v>291</v>
      </c>
    </row>
    <row r="13" spans="1:16" s="157" customFormat="1" ht="14.25" customHeight="1" x14ac:dyDescent="0.25">
      <c r="A13" s="200"/>
      <c r="B13" s="809" t="str">
        <f>IF(Intro!$G$21="English",O13,P13)</f>
        <v>Commentaire 1</v>
      </c>
      <c r="C13" s="810"/>
      <c r="D13" s="814"/>
      <c r="E13" s="817"/>
      <c r="F13" s="818"/>
      <c r="G13" s="818"/>
      <c r="H13" s="818"/>
      <c r="I13" s="818"/>
      <c r="J13" s="818"/>
      <c r="K13" s="818"/>
      <c r="L13" s="819"/>
      <c r="O13" s="13" t="s">
        <v>292</v>
      </c>
      <c r="P13" s="12" t="s">
        <v>293</v>
      </c>
    </row>
    <row r="14" spans="1:16" s="157" customFormat="1" x14ac:dyDescent="0.25">
      <c r="A14" s="200"/>
      <c r="B14" s="778"/>
      <c r="C14" s="811"/>
      <c r="D14" s="815"/>
      <c r="E14" s="820"/>
      <c r="F14" s="707"/>
      <c r="G14" s="707"/>
      <c r="H14" s="707"/>
      <c r="I14" s="707"/>
      <c r="J14" s="707"/>
      <c r="K14" s="707"/>
      <c r="L14" s="708"/>
    </row>
    <row r="15" spans="1:16" s="157" customFormat="1" x14ac:dyDescent="0.25">
      <c r="A15" s="200"/>
      <c r="B15" s="778"/>
      <c r="C15" s="811"/>
      <c r="D15" s="815"/>
      <c r="E15" s="820"/>
      <c r="F15" s="707"/>
      <c r="G15" s="707"/>
      <c r="H15" s="707"/>
      <c r="I15" s="707"/>
      <c r="J15" s="707"/>
      <c r="K15" s="707"/>
      <c r="L15" s="708"/>
    </row>
    <row r="16" spans="1:16" s="157" customFormat="1" x14ac:dyDescent="0.25">
      <c r="A16" s="200"/>
      <c r="B16" s="778"/>
      <c r="C16" s="811"/>
      <c r="D16" s="815"/>
      <c r="E16" s="820"/>
      <c r="F16" s="707"/>
      <c r="G16" s="707"/>
      <c r="H16" s="707"/>
      <c r="I16" s="707"/>
      <c r="J16" s="707"/>
      <c r="K16" s="707"/>
      <c r="L16" s="708"/>
    </row>
    <row r="17" spans="1:16" s="157" customFormat="1" x14ac:dyDescent="0.25">
      <c r="A17" s="200"/>
      <c r="B17" s="778"/>
      <c r="C17" s="811"/>
      <c r="D17" s="815"/>
      <c r="E17" s="820"/>
      <c r="F17" s="707"/>
      <c r="G17" s="707"/>
      <c r="H17" s="707"/>
      <c r="I17" s="707"/>
      <c r="J17" s="707"/>
      <c r="K17" s="707"/>
      <c r="L17" s="708"/>
    </row>
    <row r="18" spans="1:16" s="157" customFormat="1" x14ac:dyDescent="0.25">
      <c r="A18" s="200"/>
      <c r="B18" s="778"/>
      <c r="C18" s="811"/>
      <c r="D18" s="815"/>
      <c r="E18" s="820"/>
      <c r="F18" s="707"/>
      <c r="G18" s="707"/>
      <c r="H18" s="707"/>
      <c r="I18" s="707"/>
      <c r="J18" s="707"/>
      <c r="K18" s="707"/>
      <c r="L18" s="708"/>
      <c r="O18" s="183"/>
      <c r="P18" s="183"/>
    </row>
    <row r="19" spans="1:16" s="157" customFormat="1" x14ac:dyDescent="0.25">
      <c r="A19" s="200"/>
      <c r="B19" s="778"/>
      <c r="C19" s="811"/>
      <c r="D19" s="815"/>
      <c r="E19" s="820"/>
      <c r="F19" s="707"/>
      <c r="G19" s="707"/>
      <c r="H19" s="707"/>
      <c r="I19" s="707"/>
      <c r="J19" s="707"/>
      <c r="K19" s="707"/>
      <c r="L19" s="708"/>
      <c r="O19" s="13"/>
      <c r="P19" s="12"/>
    </row>
    <row r="20" spans="1:16" s="157" customFormat="1" x14ac:dyDescent="0.25">
      <c r="A20" s="200"/>
      <c r="B20" s="778"/>
      <c r="C20" s="811"/>
      <c r="D20" s="815"/>
      <c r="E20" s="820"/>
      <c r="F20" s="707"/>
      <c r="G20" s="707"/>
      <c r="H20" s="707"/>
      <c r="I20" s="707"/>
      <c r="J20" s="707"/>
      <c r="K20" s="707"/>
      <c r="L20" s="708"/>
      <c r="O20" s="13"/>
      <c r="P20" s="12"/>
    </row>
    <row r="21" spans="1:16" s="157" customFormat="1" x14ac:dyDescent="0.25">
      <c r="A21" s="200"/>
      <c r="B21" s="812"/>
      <c r="C21" s="813"/>
      <c r="D21" s="816"/>
      <c r="E21" s="821"/>
      <c r="F21" s="822"/>
      <c r="G21" s="822"/>
      <c r="H21" s="822"/>
      <c r="I21" s="822"/>
      <c r="J21" s="822"/>
      <c r="K21" s="822"/>
      <c r="L21" s="823"/>
      <c r="O21" s="13"/>
      <c r="P21" s="12"/>
    </row>
    <row r="22" spans="1:16" s="157" customFormat="1" ht="14.25" customHeight="1" x14ac:dyDescent="0.25">
      <c r="A22" s="200"/>
      <c r="B22" s="809" t="str">
        <f>IF(Intro!$G$21="English",O22,P22)</f>
        <v>Commentaire 2</v>
      </c>
      <c r="C22" s="810"/>
      <c r="D22" s="814"/>
      <c r="E22" s="817"/>
      <c r="F22" s="818"/>
      <c r="G22" s="818"/>
      <c r="H22" s="818"/>
      <c r="I22" s="818"/>
      <c r="J22" s="818"/>
      <c r="K22" s="818"/>
      <c r="L22" s="819"/>
      <c r="O22" s="13" t="s">
        <v>294</v>
      </c>
      <c r="P22" s="12" t="s">
        <v>295</v>
      </c>
    </row>
    <row r="23" spans="1:16" s="157" customFormat="1" x14ac:dyDescent="0.25">
      <c r="A23" s="200"/>
      <c r="B23" s="778"/>
      <c r="C23" s="811"/>
      <c r="D23" s="815"/>
      <c r="E23" s="820"/>
      <c r="F23" s="707"/>
      <c r="G23" s="707"/>
      <c r="H23" s="707"/>
      <c r="I23" s="707"/>
      <c r="J23" s="707"/>
      <c r="K23" s="707"/>
      <c r="L23" s="708"/>
    </row>
    <row r="24" spans="1:16" s="157" customFormat="1" x14ac:dyDescent="0.25">
      <c r="A24" s="200"/>
      <c r="B24" s="778"/>
      <c r="C24" s="811"/>
      <c r="D24" s="815"/>
      <c r="E24" s="820"/>
      <c r="F24" s="707"/>
      <c r="G24" s="707"/>
      <c r="H24" s="707"/>
      <c r="I24" s="707"/>
      <c r="J24" s="707"/>
      <c r="K24" s="707"/>
      <c r="L24" s="708"/>
    </row>
    <row r="25" spans="1:16" s="157" customFormat="1" x14ac:dyDescent="0.25">
      <c r="A25" s="200"/>
      <c r="B25" s="778"/>
      <c r="C25" s="811"/>
      <c r="D25" s="815"/>
      <c r="E25" s="820"/>
      <c r="F25" s="707"/>
      <c r="G25" s="707"/>
      <c r="H25" s="707"/>
      <c r="I25" s="707"/>
      <c r="J25" s="707"/>
      <c r="K25" s="707"/>
      <c r="L25" s="708"/>
    </row>
    <row r="26" spans="1:16" s="157" customFormat="1" x14ac:dyDescent="0.25">
      <c r="A26" s="200"/>
      <c r="B26" s="778"/>
      <c r="C26" s="811"/>
      <c r="D26" s="815"/>
      <c r="E26" s="820"/>
      <c r="F26" s="707"/>
      <c r="G26" s="707"/>
      <c r="H26" s="707"/>
      <c r="I26" s="707"/>
      <c r="J26" s="707"/>
      <c r="K26" s="707"/>
      <c r="L26" s="708"/>
      <c r="O26" s="13"/>
      <c r="P26" s="12"/>
    </row>
    <row r="27" spans="1:16" s="157" customFormat="1" x14ac:dyDescent="0.25">
      <c r="A27" s="200"/>
      <c r="B27" s="778"/>
      <c r="C27" s="811"/>
      <c r="D27" s="815"/>
      <c r="E27" s="820"/>
      <c r="F27" s="707"/>
      <c r="G27" s="707"/>
      <c r="H27" s="707"/>
      <c r="I27" s="707"/>
      <c r="J27" s="707"/>
      <c r="K27" s="707"/>
      <c r="L27" s="708"/>
      <c r="O27" s="13"/>
      <c r="P27" s="12"/>
    </row>
    <row r="28" spans="1:16" s="157" customFormat="1" x14ac:dyDescent="0.25">
      <c r="A28" s="200"/>
      <c r="B28" s="778"/>
      <c r="C28" s="811"/>
      <c r="D28" s="815"/>
      <c r="E28" s="820"/>
      <c r="F28" s="707"/>
      <c r="G28" s="707"/>
      <c r="H28" s="707"/>
      <c r="I28" s="707"/>
      <c r="J28" s="707"/>
      <c r="K28" s="707"/>
      <c r="L28" s="708"/>
      <c r="O28" s="13"/>
      <c r="P28" s="12"/>
    </row>
    <row r="29" spans="1:16" s="157" customFormat="1" x14ac:dyDescent="0.25">
      <c r="A29" s="200"/>
      <c r="B29" s="778"/>
      <c r="C29" s="811"/>
      <c r="D29" s="815"/>
      <c r="E29" s="820"/>
      <c r="F29" s="707"/>
      <c r="G29" s="707"/>
      <c r="H29" s="707"/>
      <c r="I29" s="707"/>
      <c r="J29" s="707"/>
      <c r="K29" s="707"/>
      <c r="L29" s="708"/>
      <c r="O29" s="13"/>
      <c r="P29" s="12"/>
    </row>
    <row r="30" spans="1:16" s="157" customFormat="1" x14ac:dyDescent="0.25">
      <c r="A30" s="200"/>
      <c r="B30" s="812"/>
      <c r="C30" s="813"/>
      <c r="D30" s="816"/>
      <c r="E30" s="821"/>
      <c r="F30" s="822"/>
      <c r="G30" s="822"/>
      <c r="H30" s="822"/>
      <c r="I30" s="822"/>
      <c r="J30" s="822"/>
      <c r="K30" s="822"/>
      <c r="L30" s="823"/>
      <c r="O30" s="13"/>
      <c r="P30" s="12"/>
    </row>
    <row r="31" spans="1:16" s="157" customFormat="1" ht="14.25" customHeight="1" x14ac:dyDescent="0.25">
      <c r="A31" s="200"/>
      <c r="B31" s="809" t="str">
        <f>IF(Intro!$G$21="English",O31,P31)</f>
        <v>Commentaire 3</v>
      </c>
      <c r="C31" s="810"/>
      <c r="D31" s="814"/>
      <c r="E31" s="817"/>
      <c r="F31" s="818"/>
      <c r="G31" s="818"/>
      <c r="H31" s="818"/>
      <c r="I31" s="818"/>
      <c r="J31" s="818"/>
      <c r="K31" s="818"/>
      <c r="L31" s="819"/>
      <c r="O31" s="13" t="s">
        <v>296</v>
      </c>
      <c r="P31" s="12" t="s">
        <v>297</v>
      </c>
    </row>
    <row r="32" spans="1:16" s="157" customFormat="1" x14ac:dyDescent="0.25">
      <c r="A32" s="200"/>
      <c r="B32" s="778"/>
      <c r="C32" s="811"/>
      <c r="D32" s="815"/>
      <c r="E32" s="820"/>
      <c r="F32" s="707"/>
      <c r="G32" s="707"/>
      <c r="H32" s="707"/>
      <c r="I32" s="707"/>
      <c r="J32" s="707"/>
      <c r="K32" s="707"/>
      <c r="L32" s="708"/>
    </row>
    <row r="33" spans="1:16" s="157" customFormat="1" x14ac:dyDescent="0.25">
      <c r="A33" s="200"/>
      <c r="B33" s="778"/>
      <c r="C33" s="811"/>
      <c r="D33" s="815"/>
      <c r="E33" s="820"/>
      <c r="F33" s="707"/>
      <c r="G33" s="707"/>
      <c r="H33" s="707"/>
      <c r="I33" s="707"/>
      <c r="J33" s="707"/>
      <c r="K33" s="707"/>
      <c r="L33" s="708"/>
    </row>
    <row r="34" spans="1:16" s="157" customFormat="1" x14ac:dyDescent="0.25">
      <c r="A34" s="200"/>
      <c r="B34" s="778"/>
      <c r="C34" s="811"/>
      <c r="D34" s="815"/>
      <c r="E34" s="820"/>
      <c r="F34" s="707"/>
      <c r="G34" s="707"/>
      <c r="H34" s="707"/>
      <c r="I34" s="707"/>
      <c r="J34" s="707"/>
      <c r="K34" s="707"/>
      <c r="L34" s="708"/>
      <c r="O34" s="13"/>
      <c r="P34" s="12"/>
    </row>
    <row r="35" spans="1:16" s="157" customFormat="1" x14ac:dyDescent="0.25">
      <c r="A35" s="200"/>
      <c r="B35" s="778"/>
      <c r="C35" s="811"/>
      <c r="D35" s="815"/>
      <c r="E35" s="820"/>
      <c r="F35" s="707"/>
      <c r="G35" s="707"/>
      <c r="H35" s="707"/>
      <c r="I35" s="707"/>
      <c r="J35" s="707"/>
      <c r="K35" s="707"/>
      <c r="L35" s="708"/>
      <c r="O35" s="13"/>
      <c r="P35" s="12"/>
    </row>
    <row r="36" spans="1:16" s="157" customFormat="1" x14ac:dyDescent="0.25">
      <c r="A36" s="200"/>
      <c r="B36" s="778"/>
      <c r="C36" s="811"/>
      <c r="D36" s="815"/>
      <c r="E36" s="820"/>
      <c r="F36" s="707"/>
      <c r="G36" s="707"/>
      <c r="H36" s="707"/>
      <c r="I36" s="707"/>
      <c r="J36" s="707"/>
      <c r="K36" s="707"/>
      <c r="L36" s="708"/>
      <c r="O36" s="13"/>
      <c r="P36" s="12"/>
    </row>
    <row r="37" spans="1:16" s="157" customFormat="1" x14ac:dyDescent="0.25">
      <c r="A37" s="200"/>
      <c r="B37" s="778"/>
      <c r="C37" s="811"/>
      <c r="D37" s="815"/>
      <c r="E37" s="820"/>
      <c r="F37" s="707"/>
      <c r="G37" s="707"/>
      <c r="H37" s="707"/>
      <c r="I37" s="707"/>
      <c r="J37" s="707"/>
      <c r="K37" s="707"/>
      <c r="L37" s="708"/>
      <c r="O37" s="13"/>
      <c r="P37" s="12"/>
    </row>
    <row r="38" spans="1:16" s="157" customFormat="1" x14ac:dyDescent="0.25">
      <c r="A38" s="200"/>
      <c r="B38" s="778"/>
      <c r="C38" s="811"/>
      <c r="D38" s="815"/>
      <c r="E38" s="820"/>
      <c r="F38" s="707"/>
      <c r="G38" s="707"/>
      <c r="H38" s="707"/>
      <c r="I38" s="707"/>
      <c r="J38" s="707"/>
      <c r="K38" s="707"/>
      <c r="L38" s="708"/>
      <c r="O38" s="13"/>
      <c r="P38" s="12"/>
    </row>
    <row r="39" spans="1:16" s="157" customFormat="1" x14ac:dyDescent="0.25">
      <c r="A39" s="200"/>
      <c r="B39" s="812"/>
      <c r="C39" s="813"/>
      <c r="D39" s="816"/>
      <c r="E39" s="821"/>
      <c r="F39" s="822"/>
      <c r="G39" s="822"/>
      <c r="H39" s="822"/>
      <c r="I39" s="822"/>
      <c r="J39" s="822"/>
      <c r="K39" s="822"/>
      <c r="L39" s="823"/>
      <c r="O39" s="13"/>
      <c r="P39" s="12"/>
    </row>
    <row r="40" spans="1:16" s="157" customFormat="1" ht="14.25" customHeight="1" x14ac:dyDescent="0.25">
      <c r="A40" s="200"/>
      <c r="B40" s="809" t="str">
        <f>IF(Intro!$G$21="English",O40,P40)</f>
        <v>Commentaire 4</v>
      </c>
      <c r="C40" s="810"/>
      <c r="D40" s="814"/>
      <c r="E40" s="817"/>
      <c r="F40" s="818"/>
      <c r="G40" s="818"/>
      <c r="H40" s="818"/>
      <c r="I40" s="818"/>
      <c r="J40" s="818"/>
      <c r="K40" s="818"/>
      <c r="L40" s="819"/>
      <c r="O40" s="13" t="s">
        <v>298</v>
      </c>
      <c r="P40" s="12" t="s">
        <v>299</v>
      </c>
    </row>
    <row r="41" spans="1:16" s="157" customFormat="1" x14ac:dyDescent="0.25">
      <c r="A41" s="200"/>
      <c r="B41" s="778"/>
      <c r="C41" s="811"/>
      <c r="D41" s="815"/>
      <c r="E41" s="820"/>
      <c r="F41" s="707"/>
      <c r="G41" s="707"/>
      <c r="H41" s="707"/>
      <c r="I41" s="707"/>
      <c r="J41" s="707"/>
      <c r="K41" s="707"/>
      <c r="L41" s="708"/>
    </row>
    <row r="42" spans="1:16" s="157" customFormat="1" x14ac:dyDescent="0.25">
      <c r="A42" s="200"/>
      <c r="B42" s="778"/>
      <c r="C42" s="811"/>
      <c r="D42" s="815"/>
      <c r="E42" s="820"/>
      <c r="F42" s="707"/>
      <c r="G42" s="707"/>
      <c r="H42" s="707"/>
      <c r="I42" s="707"/>
      <c r="J42" s="707"/>
      <c r="K42" s="707"/>
      <c r="L42" s="708"/>
      <c r="O42" s="13"/>
      <c r="P42" s="12"/>
    </row>
    <row r="43" spans="1:16" s="157" customFormat="1" x14ac:dyDescent="0.25">
      <c r="A43" s="200"/>
      <c r="B43" s="778"/>
      <c r="C43" s="811"/>
      <c r="D43" s="815"/>
      <c r="E43" s="820"/>
      <c r="F43" s="707"/>
      <c r="G43" s="707"/>
      <c r="H43" s="707"/>
      <c r="I43" s="707"/>
      <c r="J43" s="707"/>
      <c r="K43" s="707"/>
      <c r="L43" s="708"/>
      <c r="O43" s="13"/>
      <c r="P43" s="12"/>
    </row>
    <row r="44" spans="1:16" s="157" customFormat="1" x14ac:dyDescent="0.25">
      <c r="A44" s="200"/>
      <c r="B44" s="778"/>
      <c r="C44" s="811"/>
      <c r="D44" s="815"/>
      <c r="E44" s="820"/>
      <c r="F44" s="707"/>
      <c r="G44" s="707"/>
      <c r="H44" s="707"/>
      <c r="I44" s="707"/>
      <c r="J44" s="707"/>
      <c r="K44" s="707"/>
      <c r="L44" s="708"/>
      <c r="O44" s="13"/>
      <c r="P44" s="12"/>
    </row>
    <row r="45" spans="1:16" s="157" customFormat="1" x14ac:dyDescent="0.25">
      <c r="A45" s="200"/>
      <c r="B45" s="778"/>
      <c r="C45" s="811"/>
      <c r="D45" s="815"/>
      <c r="E45" s="820"/>
      <c r="F45" s="707"/>
      <c r="G45" s="707"/>
      <c r="H45" s="707"/>
      <c r="I45" s="707"/>
      <c r="J45" s="707"/>
      <c r="K45" s="707"/>
      <c r="L45" s="708"/>
      <c r="O45" s="13"/>
      <c r="P45" s="12"/>
    </row>
    <row r="46" spans="1:16" s="157" customFormat="1" x14ac:dyDescent="0.25">
      <c r="A46" s="200"/>
      <c r="B46" s="778"/>
      <c r="C46" s="811"/>
      <c r="D46" s="815"/>
      <c r="E46" s="820"/>
      <c r="F46" s="707"/>
      <c r="G46" s="707"/>
      <c r="H46" s="707"/>
      <c r="I46" s="707"/>
      <c r="J46" s="707"/>
      <c r="K46" s="707"/>
      <c r="L46" s="708"/>
      <c r="O46" s="13"/>
      <c r="P46" s="12"/>
    </row>
    <row r="47" spans="1:16" s="157" customFormat="1" x14ac:dyDescent="0.25">
      <c r="A47" s="200"/>
      <c r="B47" s="778"/>
      <c r="C47" s="811"/>
      <c r="D47" s="815"/>
      <c r="E47" s="820"/>
      <c r="F47" s="707"/>
      <c r="G47" s="707"/>
      <c r="H47" s="707"/>
      <c r="I47" s="707"/>
      <c r="J47" s="707"/>
      <c r="K47" s="707"/>
      <c r="L47" s="708"/>
      <c r="O47" s="13"/>
      <c r="P47" s="12"/>
    </row>
    <row r="48" spans="1:16" s="157" customFormat="1" x14ac:dyDescent="0.25">
      <c r="A48" s="200"/>
      <c r="B48" s="812"/>
      <c r="C48" s="813"/>
      <c r="D48" s="816"/>
      <c r="E48" s="821"/>
      <c r="F48" s="822"/>
      <c r="G48" s="822"/>
      <c r="H48" s="822"/>
      <c r="I48" s="822"/>
      <c r="J48" s="822"/>
      <c r="K48" s="822"/>
      <c r="L48" s="823"/>
      <c r="O48" s="13"/>
      <c r="P48" s="12"/>
    </row>
    <row r="49" spans="1:16" s="157" customFormat="1" ht="14.25" customHeight="1" x14ac:dyDescent="0.25">
      <c r="A49" s="200"/>
      <c r="B49" s="809" t="str">
        <f>IF(Intro!$G$21="English",O49,P49)</f>
        <v>Commentaire 5</v>
      </c>
      <c r="C49" s="810"/>
      <c r="D49" s="814"/>
      <c r="E49" s="817"/>
      <c r="F49" s="818"/>
      <c r="G49" s="818"/>
      <c r="H49" s="818"/>
      <c r="I49" s="818"/>
      <c r="J49" s="818"/>
      <c r="K49" s="818"/>
      <c r="L49" s="819"/>
      <c r="O49" s="13" t="s">
        <v>300</v>
      </c>
      <c r="P49" s="12" t="s">
        <v>301</v>
      </c>
    </row>
    <row r="50" spans="1:16" s="157" customFormat="1" x14ac:dyDescent="0.25">
      <c r="A50" s="200"/>
      <c r="B50" s="778"/>
      <c r="C50" s="811"/>
      <c r="D50" s="815"/>
      <c r="E50" s="820"/>
      <c r="F50" s="707"/>
      <c r="G50" s="707"/>
      <c r="H50" s="707"/>
      <c r="I50" s="707"/>
      <c r="J50" s="707"/>
      <c r="K50" s="707"/>
      <c r="L50" s="708"/>
      <c r="O50" s="13"/>
      <c r="P50" s="12"/>
    </row>
    <row r="51" spans="1:16" s="157" customFormat="1" x14ac:dyDescent="0.25">
      <c r="A51" s="200"/>
      <c r="B51" s="778"/>
      <c r="C51" s="811"/>
      <c r="D51" s="815"/>
      <c r="E51" s="820"/>
      <c r="F51" s="707"/>
      <c r="G51" s="707"/>
      <c r="H51" s="707"/>
      <c r="I51" s="707"/>
      <c r="J51" s="707"/>
      <c r="K51" s="707"/>
      <c r="L51" s="708"/>
      <c r="O51" s="13"/>
      <c r="P51" s="12"/>
    </row>
    <row r="52" spans="1:16" s="157" customFormat="1" x14ac:dyDescent="0.25">
      <c r="A52" s="200"/>
      <c r="B52" s="778"/>
      <c r="C52" s="811"/>
      <c r="D52" s="815"/>
      <c r="E52" s="820"/>
      <c r="F52" s="707"/>
      <c r="G52" s="707"/>
      <c r="H52" s="707"/>
      <c r="I52" s="707"/>
      <c r="J52" s="707"/>
      <c r="K52" s="707"/>
      <c r="L52" s="708"/>
      <c r="O52" s="13"/>
      <c r="P52" s="12"/>
    </row>
    <row r="53" spans="1:16" s="157" customFormat="1" x14ac:dyDescent="0.25">
      <c r="A53" s="200"/>
      <c r="B53" s="778"/>
      <c r="C53" s="811"/>
      <c r="D53" s="815"/>
      <c r="E53" s="820"/>
      <c r="F53" s="707"/>
      <c r="G53" s="707"/>
      <c r="H53" s="707"/>
      <c r="I53" s="707"/>
      <c r="J53" s="707"/>
      <c r="K53" s="707"/>
      <c r="L53" s="708"/>
      <c r="O53" s="13"/>
      <c r="P53" s="12"/>
    </row>
    <row r="54" spans="1:16" s="157" customFormat="1" x14ac:dyDescent="0.25">
      <c r="A54" s="200"/>
      <c r="B54" s="778"/>
      <c r="C54" s="811"/>
      <c r="D54" s="815"/>
      <c r="E54" s="820"/>
      <c r="F54" s="707"/>
      <c r="G54" s="707"/>
      <c r="H54" s="707"/>
      <c r="I54" s="707"/>
      <c r="J54" s="707"/>
      <c r="K54" s="707"/>
      <c r="L54" s="708"/>
      <c r="O54" s="13"/>
      <c r="P54" s="12"/>
    </row>
    <row r="55" spans="1:16" s="157" customFormat="1" x14ac:dyDescent="0.25">
      <c r="A55" s="200"/>
      <c r="B55" s="778"/>
      <c r="C55" s="811"/>
      <c r="D55" s="815"/>
      <c r="E55" s="820"/>
      <c r="F55" s="707"/>
      <c r="G55" s="707"/>
      <c r="H55" s="707"/>
      <c r="I55" s="707"/>
      <c r="J55" s="707"/>
      <c r="K55" s="707"/>
      <c r="L55" s="708"/>
      <c r="O55" s="13"/>
      <c r="P55" s="12"/>
    </row>
    <row r="56" spans="1:16" s="157" customFormat="1" x14ac:dyDescent="0.25">
      <c r="A56" s="200"/>
      <c r="B56" s="778"/>
      <c r="C56" s="811"/>
      <c r="D56" s="815"/>
      <c r="E56" s="820"/>
      <c r="F56" s="707"/>
      <c r="G56" s="707"/>
      <c r="H56" s="707"/>
      <c r="I56" s="707"/>
      <c r="J56" s="707"/>
      <c r="K56" s="707"/>
      <c r="L56" s="708"/>
      <c r="O56" s="13"/>
      <c r="P56" s="12"/>
    </row>
    <row r="57" spans="1:16" s="183" customFormat="1" x14ac:dyDescent="0.25">
      <c r="A57" s="212"/>
      <c r="B57" s="812"/>
      <c r="C57" s="813"/>
      <c r="D57" s="816"/>
      <c r="E57" s="821"/>
      <c r="F57" s="822"/>
      <c r="G57" s="822"/>
      <c r="H57" s="822"/>
      <c r="I57" s="822"/>
      <c r="J57" s="822"/>
      <c r="K57" s="822"/>
      <c r="L57" s="823"/>
      <c r="N57" s="215"/>
    </row>
  </sheetData>
  <sheetProtection algorithmName="SHA-512" hashValue="6qpG19IXpAfZqSkuW1H1UVFE57wt7ZkpEBSuTAB6cHJdofabEn4x0xS6fN1Bo2RNlNOCKkXrbHelghHOgP+ltA==" saltValue="gxDfXcb9zCs5vH/c3QN+Ig==" spinCount="100000" sheet="1" objects="1" scenarios="1" selectLockedCells="1"/>
  <mergeCells count="20">
    <mergeCell ref="B22:C30"/>
    <mergeCell ref="D22:D30"/>
    <mergeCell ref="E22:L30"/>
    <mergeCell ref="B4:L4"/>
    <mergeCell ref="B5:L5"/>
    <mergeCell ref="B6:L6"/>
    <mergeCell ref="B10:L10"/>
    <mergeCell ref="E13:L21"/>
    <mergeCell ref="D13:D21"/>
    <mergeCell ref="B13:C21"/>
    <mergeCell ref="E12:L12"/>
    <mergeCell ref="B49:C57"/>
    <mergeCell ref="D49:D57"/>
    <mergeCell ref="E49:L57"/>
    <mergeCell ref="B31:C39"/>
    <mergeCell ref="D31:D39"/>
    <mergeCell ref="E31:L39"/>
    <mergeCell ref="B40:C48"/>
    <mergeCell ref="D40:D48"/>
    <mergeCell ref="E40:L4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 allowBlank="1" sqref="D13:D57" xr:uid="{EE335058-09AB-4C44-98A8-D540625FF78E}"/>
  </dataValidations>
  <printOptions horizontalCentered="1"/>
  <pageMargins left="0.25" right="0.25" top="0.75" bottom="0.75" header="0.3" footer="0.3"/>
  <pageSetup scale="63" firstPageNumber="15"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13"/>
  <sheetViews>
    <sheetView showGridLines="0"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8" width="9.28515625" style="2" customWidth="1"/>
    <col min="19" max="16384" width="9.28515625" style="2"/>
  </cols>
  <sheetData>
    <row r="1" spans="1:16" x14ac:dyDescent="0.25">
      <c r="O1" s="3" t="s">
        <v>169</v>
      </c>
      <c r="P1" s="3" t="s">
        <v>170</v>
      </c>
    </row>
    <row r="2" spans="1:16" x14ac:dyDescent="0.25">
      <c r="B2" s="27" t="str">
        <f>IF(Intro!$G$21="English",O2,P2)</f>
        <v>PROTÉGÉ</v>
      </c>
      <c r="C2" s="27"/>
      <c r="D2" s="27"/>
      <c r="O2" s="257" t="s">
        <v>695</v>
      </c>
      <c r="P2" s="257" t="s">
        <v>696</v>
      </c>
    </row>
    <row r="3" spans="1:16" x14ac:dyDescent="0.25">
      <c r="B3" s="28"/>
      <c r="C3" s="28"/>
      <c r="D3" s="28"/>
      <c r="O3" s="5"/>
      <c r="P3" s="5"/>
    </row>
    <row r="4" spans="1:16" s="9" customFormat="1" x14ac:dyDescent="0.25">
      <c r="A4" s="16"/>
      <c r="B4" s="715" t="str">
        <f>Info!B4</f>
        <v>QUESTIONNAIRE À L’INTENTION DES PRODUCTEURS</v>
      </c>
      <c r="C4" s="715"/>
      <c r="D4" s="715"/>
      <c r="E4" s="715"/>
      <c r="F4" s="715"/>
      <c r="G4" s="715"/>
      <c r="H4" s="715"/>
      <c r="I4" s="715"/>
      <c r="J4" s="715"/>
      <c r="K4" s="715"/>
      <c r="L4" s="715"/>
      <c r="M4" s="7"/>
      <c r="N4" s="7"/>
      <c r="O4" s="8"/>
      <c r="P4" s="8"/>
    </row>
    <row r="5" spans="1:16" s="9" customFormat="1" x14ac:dyDescent="0.25">
      <c r="A5" s="16"/>
      <c r="B5" s="715" t="str">
        <f>Info!B5</f>
        <v>NQ-2025-008</v>
      </c>
      <c r="C5" s="715"/>
      <c r="D5" s="715"/>
      <c r="E5" s="715"/>
      <c r="F5" s="715"/>
      <c r="G5" s="715"/>
      <c r="H5" s="715"/>
      <c r="I5" s="715"/>
      <c r="J5" s="715"/>
      <c r="K5" s="715"/>
      <c r="L5" s="715"/>
      <c r="M5" s="7"/>
      <c r="N5" s="7"/>
      <c r="O5" s="8"/>
      <c r="P5" s="8"/>
    </row>
    <row r="6" spans="1:16" s="18" customFormat="1" x14ac:dyDescent="0.25">
      <c r="A6" s="16"/>
      <c r="B6" s="715" t="str">
        <f>Info!B6</f>
        <v>VAISSELLE EN FIBRE MOULÉE THERMOFORMÉE</v>
      </c>
      <c r="C6" s="715"/>
      <c r="D6" s="715"/>
      <c r="E6" s="715"/>
      <c r="F6" s="715"/>
      <c r="G6" s="715"/>
      <c r="H6" s="715"/>
      <c r="I6" s="715"/>
      <c r="J6" s="715"/>
      <c r="K6" s="715"/>
      <c r="L6" s="715"/>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792" t="str">
        <f>Public!B8</f>
        <v>Les questions suivantes font référence aux marchandises comme définies dans la description du produit de l'onglet Intro.</v>
      </c>
      <c r="C8" s="792"/>
      <c r="D8" s="792"/>
      <c r="E8" s="792"/>
      <c r="F8" s="792"/>
      <c r="G8" s="792"/>
      <c r="H8" s="792"/>
      <c r="I8" s="792"/>
      <c r="J8" s="792"/>
      <c r="K8" s="792"/>
      <c r="L8" s="792"/>
      <c r="M8" s="17"/>
      <c r="N8" s="17"/>
      <c r="O8" s="19"/>
      <c r="P8" s="19"/>
    </row>
    <row r="9" spans="1:16" s="18" customFormat="1" x14ac:dyDescent="0.25">
      <c r="A9" s="16"/>
      <c r="B9" s="792" t="str">
        <f>Public!B9</f>
        <v>Des informations sur le produit et un glossaire de termes sont disponibles dans l'onglet Info.</v>
      </c>
      <c r="C9" s="792"/>
      <c r="D9" s="792"/>
      <c r="E9" s="792"/>
      <c r="F9" s="792"/>
      <c r="G9" s="792"/>
      <c r="H9" s="792"/>
      <c r="I9" s="792"/>
      <c r="J9" s="792"/>
      <c r="K9" s="792"/>
      <c r="L9" s="792"/>
      <c r="M9" s="17"/>
      <c r="N9" s="17"/>
      <c r="O9" s="19"/>
    </row>
    <row r="10" spans="1:16" s="18" customFormat="1" x14ac:dyDescent="0.25">
      <c r="A10" s="16"/>
      <c r="B10" s="792" t="str">
        <f>IF(Intro!$G$21="English",O10,P10)</f>
        <v xml:space="preserve">Utilisez l'onglet AddPro si vous avez besoin de plus d'espace.
</v>
      </c>
      <c r="C10" s="792"/>
      <c r="D10" s="792"/>
      <c r="E10" s="792"/>
      <c r="F10" s="792"/>
      <c r="G10" s="792"/>
      <c r="H10" s="792"/>
      <c r="I10" s="792"/>
      <c r="J10" s="792"/>
      <c r="K10" s="792"/>
      <c r="L10" s="792"/>
      <c r="M10" s="17"/>
      <c r="N10" s="17"/>
      <c r="O10" s="19" t="s">
        <v>181</v>
      </c>
      <c r="P10" s="19" t="str">
        <f>"Utilisez l'onglet AddPro si vous avez besoin de plus d'espace."&amp;CHAR(10)</f>
        <v xml:space="preserve">Utilisez l'onglet AddPro si vous avez besoin de plus d'espace.
</v>
      </c>
    </row>
    <row r="11" spans="1:16" s="10" customFormat="1" x14ac:dyDescent="0.25">
      <c r="A11" s="20"/>
      <c r="B11" s="29"/>
      <c r="C11" s="29"/>
      <c r="D11" s="29"/>
      <c r="E11" s="30"/>
      <c r="F11" s="30"/>
      <c r="G11" s="30"/>
      <c r="H11" s="30"/>
      <c r="I11" s="30"/>
      <c r="J11" s="30"/>
      <c r="K11" s="30"/>
      <c r="L11" s="30"/>
      <c r="O11" s="11"/>
      <c r="P11" s="11"/>
    </row>
    <row r="12" spans="1:16" x14ac:dyDescent="0.25">
      <c r="B12" s="35" t="str">
        <f>IF(Intro!$G$21="English",O12,P12)</f>
        <v>PRODUCTION ET CAPACITÉ</v>
      </c>
      <c r="C12" s="36"/>
      <c r="D12" s="36"/>
      <c r="E12" s="36"/>
      <c r="F12" s="36"/>
      <c r="G12" s="36"/>
      <c r="H12" s="36"/>
      <c r="I12" s="36"/>
      <c r="J12" s="36"/>
      <c r="K12" s="36"/>
      <c r="L12" s="37"/>
      <c r="M12" s="182"/>
      <c r="O12" s="257" t="s">
        <v>687</v>
      </c>
      <c r="P12" s="257" t="s">
        <v>688</v>
      </c>
    </row>
    <row r="13" spans="1:16" x14ac:dyDescent="0.25">
      <c r="B13" s="770" t="s">
        <v>20</v>
      </c>
      <c r="C13" s="771"/>
      <c r="D13" s="771"/>
      <c r="E13" s="771"/>
      <c r="F13" s="771"/>
      <c r="G13" s="771"/>
      <c r="H13" s="771"/>
      <c r="I13" s="771"/>
      <c r="J13" s="771"/>
      <c r="K13" s="771"/>
      <c r="L13" s="772"/>
      <c r="M13" s="2"/>
    </row>
    <row r="14" spans="1:16" s="12" customFormat="1" x14ac:dyDescent="0.25">
      <c r="A14" s="14"/>
      <c r="B14" s="31"/>
      <c r="C14" s="32"/>
      <c r="D14" s="32"/>
      <c r="E14" s="33"/>
      <c r="F14" s="33"/>
      <c r="G14" s="33"/>
      <c r="H14" s="33"/>
      <c r="I14" s="33"/>
      <c r="J14" s="33"/>
      <c r="K14" s="33"/>
      <c r="L14" s="34"/>
    </row>
    <row r="15" spans="1:16" s="12" customFormat="1" x14ac:dyDescent="0.25">
      <c r="A15" s="14"/>
      <c r="B15" s="694" t="str">
        <f>IF(Intro!$G$21="English",O15,P15)</f>
        <v>Remplir le tableau suivant pour la production des marchandises par votre entreprise et d'autres produits fabriqués sur le même équipement au Canada. 
Remarque : les autres produits fabriqués sur le même équipement sont tous les autres produits autres que des marchandises définies dans l'onglet « Intro » qui sont fabriqués à l'aide du même équipement.</v>
      </c>
      <c r="C15" s="695"/>
      <c r="D15" s="695"/>
      <c r="E15" s="695"/>
      <c r="F15" s="695"/>
      <c r="G15" s="695"/>
      <c r="H15" s="695"/>
      <c r="I15" s="695"/>
      <c r="J15" s="695"/>
      <c r="K15" s="695"/>
      <c r="L15" s="696"/>
      <c r="O15" s="13" t="s">
        <v>718</v>
      </c>
      <c r="P15" s="12" t="s">
        <v>748</v>
      </c>
    </row>
    <row r="16" spans="1:16" s="12" customFormat="1" x14ac:dyDescent="0.25">
      <c r="A16" s="14"/>
      <c r="B16" s="694"/>
      <c r="C16" s="695"/>
      <c r="D16" s="695"/>
      <c r="E16" s="695"/>
      <c r="F16" s="695"/>
      <c r="G16" s="695"/>
      <c r="H16" s="695"/>
      <c r="I16" s="695"/>
      <c r="J16" s="695"/>
      <c r="K16" s="695"/>
      <c r="L16" s="696"/>
      <c r="O16" s="13"/>
    </row>
    <row r="17" spans="1:17" s="12" customFormat="1" x14ac:dyDescent="0.25">
      <c r="A17" s="14"/>
      <c r="B17" s="694"/>
      <c r="C17" s="695"/>
      <c r="D17" s="695"/>
      <c r="E17" s="695"/>
      <c r="F17" s="695"/>
      <c r="G17" s="695"/>
      <c r="H17" s="695"/>
      <c r="I17" s="695"/>
      <c r="J17" s="695"/>
      <c r="K17" s="695"/>
      <c r="L17" s="696"/>
      <c r="O17" s="13"/>
    </row>
    <row r="18" spans="1:17" s="12" customFormat="1" x14ac:dyDescent="0.25">
      <c r="A18" s="14"/>
      <c r="B18" s="186"/>
      <c r="C18" s="187"/>
      <c r="D18" s="32"/>
      <c r="E18" s="33"/>
      <c r="F18" s="33"/>
      <c r="G18" s="33"/>
      <c r="H18" s="33"/>
      <c r="I18" s="33"/>
      <c r="J18" s="33"/>
      <c r="K18" s="33"/>
      <c r="L18" s="34"/>
      <c r="O18" s="13"/>
    </row>
    <row r="19" spans="1:17" s="12" customFormat="1" x14ac:dyDescent="0.25">
      <c r="A19" s="14"/>
      <c r="B19" s="186"/>
      <c r="C19" s="187"/>
      <c r="F19" s="32"/>
      <c r="G19" s="831">
        <f>Variables!B6</f>
        <v>2022</v>
      </c>
      <c r="H19" s="831">
        <f>G19+1</f>
        <v>2023</v>
      </c>
      <c r="I19" s="831">
        <f>H19+1</f>
        <v>2024</v>
      </c>
      <c r="J19" s="831" t="str">
        <f>IF(Intro!$G$21="English",Variables!B9,Variables!C9)</f>
        <v>janv-sept 2024</v>
      </c>
      <c r="K19" s="831" t="str">
        <f>IF(Intro!$G$21="English",Variables!B10,Variables!C10)</f>
        <v>janv-sept 2025</v>
      </c>
      <c r="L19" s="211"/>
      <c r="O19" s="13"/>
    </row>
    <row r="20" spans="1:17" s="12" customFormat="1" x14ac:dyDescent="0.25">
      <c r="A20" s="14"/>
      <c r="B20" s="261"/>
      <c r="C20" s="262"/>
      <c r="F20" s="32"/>
      <c r="G20" s="831"/>
      <c r="H20" s="831"/>
      <c r="I20" s="831"/>
      <c r="J20" s="831"/>
      <c r="K20" s="831"/>
      <c r="L20" s="211"/>
      <c r="O20" s="13"/>
    </row>
    <row r="21" spans="1:17" s="182" customFormat="1" x14ac:dyDescent="0.25">
      <c r="A21" s="204"/>
      <c r="B21" s="827" t="str">
        <f>IF(Intro!$G$21="English",O21,P21)</f>
        <v>Production pour les ventes au Canada</v>
      </c>
      <c r="C21" s="828"/>
      <c r="D21" s="828"/>
      <c r="E21" s="829"/>
      <c r="F21" s="270" t="str">
        <f>IF(Intro!$G$21="English",Variables!$B$23,Variables!$C$23)</f>
        <v>pièces</v>
      </c>
      <c r="G21" s="276"/>
      <c r="H21" s="626"/>
      <c r="I21" s="626"/>
      <c r="J21" s="626"/>
      <c r="K21" s="626"/>
      <c r="L21" s="211"/>
      <c r="O21" s="184" t="s">
        <v>183</v>
      </c>
      <c r="P21" s="184" t="s">
        <v>182</v>
      </c>
      <c r="Q21" s="184"/>
    </row>
    <row r="22" spans="1:17" s="182" customFormat="1" x14ac:dyDescent="0.25">
      <c r="A22" s="204"/>
      <c r="B22" s="827" t="str">
        <f>IF(Intro!$G$21="English",O22,P22)</f>
        <v>Production pour les ventes à l'exportation</v>
      </c>
      <c r="C22" s="828"/>
      <c r="D22" s="828"/>
      <c r="E22" s="829"/>
      <c r="F22" s="270" t="str">
        <f>IF(Intro!$G$21="English",Variables!$B$23,Variables!$C$23)</f>
        <v>pièces</v>
      </c>
      <c r="G22" s="276"/>
      <c r="H22" s="626"/>
      <c r="I22" s="626"/>
      <c r="J22" s="626"/>
      <c r="K22" s="626"/>
      <c r="L22" s="211"/>
      <c r="O22" s="184" t="s">
        <v>184</v>
      </c>
      <c r="P22" s="184" t="s">
        <v>185</v>
      </c>
      <c r="Q22" s="184"/>
    </row>
    <row r="23" spans="1:17" s="184" customFormat="1" x14ac:dyDescent="0.25">
      <c r="A23" s="275"/>
      <c r="B23" s="827" t="str">
        <f>IF(Intro!$G$21="English",O23,P23)</f>
        <v>Production utilisée à l'interne ou destinée à la transformation ultérieure à l’interne</v>
      </c>
      <c r="C23" s="828"/>
      <c r="D23" s="828"/>
      <c r="E23" s="829"/>
      <c r="F23" s="830" t="str">
        <f>IF(Intro!$G$21="English",Variables!$B$23,Variables!$C$23)</f>
        <v>pièces</v>
      </c>
      <c r="G23" s="826"/>
      <c r="H23" s="826"/>
      <c r="I23" s="826"/>
      <c r="J23" s="826"/>
      <c r="K23" s="826"/>
      <c r="L23" s="226"/>
      <c r="O23" s="184" t="s">
        <v>186</v>
      </c>
      <c r="P23" s="184" t="s">
        <v>441</v>
      </c>
    </row>
    <row r="24" spans="1:17" s="184" customFormat="1" x14ac:dyDescent="0.25">
      <c r="A24" s="275"/>
      <c r="B24" s="827"/>
      <c r="C24" s="828"/>
      <c r="D24" s="828"/>
      <c r="E24" s="829"/>
      <c r="F24" s="830"/>
      <c r="G24" s="826"/>
      <c r="H24" s="826"/>
      <c r="I24" s="826"/>
      <c r="J24" s="826"/>
      <c r="K24" s="826"/>
      <c r="L24" s="226"/>
    </row>
    <row r="25" spans="1:17" s="235" customFormat="1" x14ac:dyDescent="0.25">
      <c r="A25" s="234" t="s">
        <v>589</v>
      </c>
      <c r="B25" s="832" t="str">
        <f>IF(Intro!$G$21="English",O25,P25)</f>
        <v>Production totale des marchandises</v>
      </c>
      <c r="C25" s="833"/>
      <c r="D25" s="833"/>
      <c r="E25" s="834"/>
      <c r="F25" s="278" t="str">
        <f>IF(Intro!$G$21="English",Variables!$B$23,Variables!$C$23)</f>
        <v>pièces</v>
      </c>
      <c r="G25" s="277">
        <f>SUM(G21:G23)</f>
        <v>0</v>
      </c>
      <c r="H25" s="277">
        <f>SUM(H21:H23)</f>
        <v>0</v>
      </c>
      <c r="I25" s="277">
        <f>SUM(I21:I23)</f>
        <v>0</v>
      </c>
      <c r="J25" s="277">
        <f>SUM(J21:J23)</f>
        <v>0</v>
      </c>
      <c r="K25" s="277">
        <f>SUM(K21:K23)</f>
        <v>0</v>
      </c>
      <c r="L25" s="211"/>
      <c r="O25" s="258" t="s">
        <v>130</v>
      </c>
      <c r="P25" s="258" t="s">
        <v>131</v>
      </c>
      <c r="Q25" s="258"/>
    </row>
    <row r="26" spans="1:17" s="182" customFormat="1" x14ac:dyDescent="0.25">
      <c r="A26" s="204"/>
      <c r="B26" s="827" t="str">
        <f>IF(Intro!$G$21="English",O26,P26)</f>
        <v>Production d'autres produits fabriqués avec le même équipement</v>
      </c>
      <c r="C26" s="828"/>
      <c r="D26" s="828"/>
      <c r="E26" s="829"/>
      <c r="F26" s="830" t="str">
        <f>IF(Intro!$G$21="English",Variables!$B$23,Variables!$C$23)</f>
        <v>pièces</v>
      </c>
      <c r="G26" s="826"/>
      <c r="H26" s="826"/>
      <c r="I26" s="826"/>
      <c r="J26" s="826"/>
      <c r="K26" s="826"/>
      <c r="L26" s="211"/>
      <c r="O26" s="184" t="s">
        <v>187</v>
      </c>
      <c r="P26" s="184" t="s">
        <v>188</v>
      </c>
      <c r="Q26" s="184"/>
    </row>
    <row r="27" spans="1:17" s="182" customFormat="1" x14ac:dyDescent="0.25">
      <c r="A27" s="204"/>
      <c r="B27" s="827"/>
      <c r="C27" s="828"/>
      <c r="D27" s="828"/>
      <c r="E27" s="829"/>
      <c r="F27" s="830"/>
      <c r="G27" s="826"/>
      <c r="H27" s="826"/>
      <c r="I27" s="826"/>
      <c r="J27" s="826"/>
      <c r="K27" s="826"/>
      <c r="L27" s="211"/>
      <c r="O27" s="184"/>
      <c r="P27" s="184"/>
      <c r="Q27" s="184"/>
    </row>
    <row r="28" spans="1:17" s="235" customFormat="1" x14ac:dyDescent="0.25">
      <c r="A28" s="234"/>
      <c r="B28" s="832" t="str">
        <f>IF(Intro!$G$21="English",O28,P28)</f>
        <v>Totale</v>
      </c>
      <c r="C28" s="833"/>
      <c r="D28" s="833"/>
      <c r="E28" s="834"/>
      <c r="F28" s="278" t="str">
        <f>IF(Intro!$G$21="English",Variables!$B$23,Variables!$C$23)</f>
        <v>pièces</v>
      </c>
      <c r="G28" s="277">
        <f>SUM(G25,G26)</f>
        <v>0</v>
      </c>
      <c r="H28" s="277">
        <f>SUM(H25,H26)</f>
        <v>0</v>
      </c>
      <c r="I28" s="277">
        <f>SUM(I25,I26)</f>
        <v>0</v>
      </c>
      <c r="J28" s="277">
        <f>SUM(J25,J26)</f>
        <v>0</v>
      </c>
      <c r="K28" s="277">
        <f>SUM(K25,K26)</f>
        <v>0</v>
      </c>
      <c r="L28" s="211"/>
      <c r="O28" s="258" t="s">
        <v>45</v>
      </c>
      <c r="P28" s="258" t="s">
        <v>189</v>
      </c>
      <c r="Q28" s="258"/>
    </row>
    <row r="29" spans="1:17" s="182" customFormat="1" x14ac:dyDescent="0.25">
      <c r="A29" s="204"/>
      <c r="B29" s="827" t="str">
        <f>IF(Intro!$G$21="English",O29,P29)</f>
        <v>Capacité pratique des usines</v>
      </c>
      <c r="C29" s="828"/>
      <c r="D29" s="828"/>
      <c r="E29" s="829"/>
      <c r="F29" s="270" t="str">
        <f>IF(Intro!$G$21="English",Variables!$B$23,Variables!$C$23)</f>
        <v>pièces</v>
      </c>
      <c r="G29" s="276"/>
      <c r="H29" s="626"/>
      <c r="I29" s="626"/>
      <c r="J29" s="626"/>
      <c r="K29" s="626"/>
      <c r="L29" s="211"/>
      <c r="O29" s="184" t="s">
        <v>195</v>
      </c>
      <c r="P29" s="184" t="s">
        <v>196</v>
      </c>
      <c r="Q29" s="184"/>
    </row>
    <row r="30" spans="1:17" s="235" customFormat="1" x14ac:dyDescent="0.25">
      <c r="A30" s="234"/>
      <c r="B30" s="832" t="str">
        <f>IF(Intro!$G$21="English",O30,P30)</f>
        <v>Taux d'utilisation des capacités des marchandises</v>
      </c>
      <c r="C30" s="833"/>
      <c r="D30" s="833"/>
      <c r="E30" s="834"/>
      <c r="F30" s="278" t="s">
        <v>192</v>
      </c>
      <c r="G30" s="277" t="str">
        <f>IF(G29=0,"-",G25/G29*100)</f>
        <v>-</v>
      </c>
      <c r="H30" s="277" t="str">
        <f>IF(H29=0,"-",H25/H29*100)</f>
        <v>-</v>
      </c>
      <c r="I30" s="277" t="str">
        <f>IF(I29=0,"-",I25/I29*100)</f>
        <v>-</v>
      </c>
      <c r="J30" s="277" t="str">
        <f>IF(J29=0,"-",J25/J29*100)</f>
        <v>-</v>
      </c>
      <c r="K30" s="277" t="str">
        <f>IF(K29=0,"-",K25/K29*100)</f>
        <v>-</v>
      </c>
      <c r="L30" s="211"/>
      <c r="O30" s="258" t="s">
        <v>190</v>
      </c>
      <c r="P30" s="258" t="s">
        <v>191</v>
      </c>
      <c r="Q30" s="258"/>
    </row>
    <row r="31" spans="1:17" s="235" customFormat="1" x14ac:dyDescent="0.25">
      <c r="A31" s="234"/>
      <c r="B31" s="832" t="str">
        <f>IF(Intro!$G$21="English",O31,P31)</f>
        <v>Taux d'utilisation total des capacités</v>
      </c>
      <c r="C31" s="833"/>
      <c r="D31" s="833"/>
      <c r="E31" s="834"/>
      <c r="F31" s="278" t="s">
        <v>192</v>
      </c>
      <c r="G31" s="277" t="str">
        <f>IF(G29=0,"-",G28/G29*100)</f>
        <v>-</v>
      </c>
      <c r="H31" s="277" t="str">
        <f t="shared" ref="H31:I31" si="0">IF(H29=0,"-",H28/H29*100)</f>
        <v>-</v>
      </c>
      <c r="I31" s="277" t="str">
        <f t="shared" si="0"/>
        <v>-</v>
      </c>
      <c r="J31" s="277" t="str">
        <f t="shared" ref="J31:K31" si="1">IF(J29=0,"-",J28/J29*100)</f>
        <v>-</v>
      </c>
      <c r="K31" s="277" t="str">
        <f t="shared" si="1"/>
        <v>-</v>
      </c>
      <c r="L31" s="211"/>
      <c r="O31" s="258" t="s">
        <v>193</v>
      </c>
      <c r="P31" s="258" t="s">
        <v>194</v>
      </c>
      <c r="Q31" s="258"/>
    </row>
    <row r="32" spans="1:17" s="182" customFormat="1" x14ac:dyDescent="0.25">
      <c r="A32" s="204"/>
      <c r="B32" s="223"/>
      <c r="C32" s="224"/>
      <c r="D32" s="224"/>
      <c r="E32" s="224"/>
      <c r="F32" s="224"/>
      <c r="G32" s="224"/>
      <c r="H32" s="224"/>
      <c r="I32" s="224"/>
      <c r="J32" s="224"/>
      <c r="K32" s="224"/>
      <c r="L32" s="222"/>
      <c r="O32" s="236"/>
      <c r="P32" s="236"/>
    </row>
    <row r="33" spans="1:16" s="3" customFormat="1" x14ac:dyDescent="0.25">
      <c r="A33" s="15"/>
      <c r="B33" s="767" t="s">
        <v>21</v>
      </c>
      <c r="C33" s="768"/>
      <c r="D33" s="768"/>
      <c r="E33" s="768"/>
      <c r="F33" s="768"/>
      <c r="G33" s="768"/>
      <c r="H33" s="768"/>
      <c r="I33" s="768"/>
      <c r="J33" s="768"/>
      <c r="K33" s="768"/>
      <c r="L33" s="769"/>
      <c r="M33" s="216"/>
    </row>
    <row r="34" spans="1:16" s="182" customFormat="1" x14ac:dyDescent="0.25">
      <c r="A34" s="204"/>
      <c r="B34" s="220"/>
      <c r="C34" s="221"/>
      <c r="D34" s="221"/>
      <c r="E34" s="221"/>
      <c r="F34" s="221"/>
      <c r="G34" s="221"/>
      <c r="H34" s="221"/>
      <c r="I34" s="221"/>
      <c r="J34" s="221"/>
      <c r="K34" s="221"/>
      <c r="L34" s="206"/>
      <c r="O34" s="236"/>
      <c r="P34" s="236"/>
    </row>
    <row r="35" spans="1:16" s="182" customFormat="1" x14ac:dyDescent="0.25">
      <c r="A35" s="204"/>
      <c r="B35" s="672" t="str">
        <f>IF(Intro!$G$21="English",O35,P35)</f>
        <v xml:space="preserve">Fournissez des détails sur la façon dont votre entreprise détermine la capacité pratique des usines. </v>
      </c>
      <c r="C35" s="673"/>
      <c r="D35" s="673"/>
      <c r="E35" s="673"/>
      <c r="F35" s="673"/>
      <c r="G35" s="673"/>
      <c r="H35" s="673"/>
      <c r="I35" s="673"/>
      <c r="J35" s="673"/>
      <c r="K35" s="673"/>
      <c r="L35" s="674"/>
      <c r="O35" s="236" t="s">
        <v>155</v>
      </c>
      <c r="P35" s="236" t="s">
        <v>156</v>
      </c>
    </row>
    <row r="36" spans="1:16" s="182" customFormat="1" x14ac:dyDescent="0.25">
      <c r="A36" s="204"/>
      <c r="B36" s="220"/>
      <c r="C36" s="221"/>
      <c r="D36" s="221"/>
      <c r="E36" s="221"/>
      <c r="F36" s="221"/>
      <c r="G36" s="221"/>
      <c r="H36" s="221"/>
      <c r="I36" s="221"/>
      <c r="J36" s="221"/>
      <c r="K36" s="221"/>
      <c r="L36" s="206"/>
      <c r="O36" s="236"/>
      <c r="P36" s="236"/>
    </row>
    <row r="37" spans="1:16" s="3" customFormat="1" x14ac:dyDescent="0.25">
      <c r="A37" s="15"/>
      <c r="B37" s="773"/>
      <c r="C37" s="774"/>
      <c r="D37" s="774"/>
      <c r="E37" s="774"/>
      <c r="F37" s="774"/>
      <c r="G37" s="774"/>
      <c r="H37" s="774"/>
      <c r="I37" s="774"/>
      <c r="J37" s="774"/>
      <c r="K37" s="774"/>
      <c r="L37" s="775"/>
      <c r="M37" s="182"/>
      <c r="O37" s="176"/>
      <c r="P37" s="176"/>
    </row>
    <row r="38" spans="1:16" s="3" customFormat="1" x14ac:dyDescent="0.25">
      <c r="A38" s="15"/>
      <c r="B38" s="773"/>
      <c r="C38" s="774"/>
      <c r="D38" s="774"/>
      <c r="E38" s="774"/>
      <c r="F38" s="774"/>
      <c r="G38" s="774"/>
      <c r="H38" s="774"/>
      <c r="I38" s="774"/>
      <c r="J38" s="774"/>
      <c r="K38" s="774"/>
      <c r="L38" s="775"/>
      <c r="M38" s="182"/>
      <c r="O38" s="176"/>
      <c r="P38" s="176"/>
    </row>
    <row r="39" spans="1:16" s="3" customFormat="1" x14ac:dyDescent="0.25">
      <c r="A39" s="15"/>
      <c r="B39" s="773"/>
      <c r="C39" s="774"/>
      <c r="D39" s="774"/>
      <c r="E39" s="774"/>
      <c r="F39" s="774"/>
      <c r="G39" s="774"/>
      <c r="H39" s="774"/>
      <c r="I39" s="774"/>
      <c r="J39" s="774"/>
      <c r="K39" s="774"/>
      <c r="L39" s="775"/>
      <c r="M39" s="182"/>
      <c r="O39" s="176"/>
      <c r="P39" s="176"/>
    </row>
    <row r="40" spans="1:16" s="3" customFormat="1" x14ac:dyDescent="0.25">
      <c r="A40" s="15"/>
      <c r="B40" s="773"/>
      <c r="C40" s="774"/>
      <c r="D40" s="774"/>
      <c r="E40" s="774"/>
      <c r="F40" s="774"/>
      <c r="G40" s="774"/>
      <c r="H40" s="774"/>
      <c r="I40" s="774"/>
      <c r="J40" s="774"/>
      <c r="K40" s="774"/>
      <c r="L40" s="775"/>
      <c r="M40" s="182"/>
      <c r="O40" s="176"/>
      <c r="P40" s="176"/>
    </row>
    <row r="41" spans="1:16" s="3" customFormat="1" x14ac:dyDescent="0.25">
      <c r="A41" s="15"/>
      <c r="B41" s="773"/>
      <c r="C41" s="774"/>
      <c r="D41" s="774"/>
      <c r="E41" s="774"/>
      <c r="F41" s="774"/>
      <c r="G41" s="774"/>
      <c r="H41" s="774"/>
      <c r="I41" s="774"/>
      <c r="J41" s="774"/>
      <c r="K41" s="774"/>
      <c r="L41" s="775"/>
      <c r="M41" s="182"/>
      <c r="O41" s="176"/>
      <c r="P41" s="176"/>
    </row>
    <row r="42" spans="1:16" s="3" customFormat="1" x14ac:dyDescent="0.25">
      <c r="A42" s="15"/>
      <c r="B42" s="773"/>
      <c r="C42" s="774"/>
      <c r="D42" s="774"/>
      <c r="E42" s="774"/>
      <c r="F42" s="774"/>
      <c r="G42" s="774"/>
      <c r="H42" s="774"/>
      <c r="I42" s="774"/>
      <c r="J42" s="774"/>
      <c r="K42" s="774"/>
      <c r="L42" s="775"/>
      <c r="M42" s="182"/>
      <c r="O42" s="176"/>
      <c r="P42" s="176"/>
    </row>
    <row r="43" spans="1:16" s="3" customFormat="1" x14ac:dyDescent="0.25">
      <c r="A43" s="15"/>
      <c r="B43" s="773"/>
      <c r="C43" s="774"/>
      <c r="D43" s="774"/>
      <c r="E43" s="774"/>
      <c r="F43" s="774"/>
      <c r="G43" s="774"/>
      <c r="H43" s="774"/>
      <c r="I43" s="774"/>
      <c r="J43" s="774"/>
      <c r="K43" s="774"/>
      <c r="L43" s="775"/>
      <c r="M43" s="182"/>
      <c r="O43" s="176"/>
      <c r="P43" s="176"/>
    </row>
    <row r="44" spans="1:16" s="3" customFormat="1" x14ac:dyDescent="0.25">
      <c r="A44" s="15"/>
      <c r="B44" s="773"/>
      <c r="C44" s="774"/>
      <c r="D44" s="774"/>
      <c r="E44" s="774"/>
      <c r="F44" s="774"/>
      <c r="G44" s="774"/>
      <c r="H44" s="774"/>
      <c r="I44" s="774"/>
      <c r="J44" s="774"/>
      <c r="K44" s="774"/>
      <c r="L44" s="775"/>
      <c r="M44" s="182"/>
      <c r="O44" s="176"/>
      <c r="P44" s="176"/>
    </row>
    <row r="45" spans="1:16" s="182" customFormat="1" x14ac:dyDescent="0.25">
      <c r="A45" s="204"/>
      <c r="B45" s="223"/>
      <c r="C45" s="224"/>
      <c r="D45" s="224"/>
      <c r="E45" s="224"/>
      <c r="F45" s="224"/>
      <c r="G45" s="224"/>
      <c r="H45" s="224"/>
      <c r="I45" s="224"/>
      <c r="J45" s="224"/>
      <c r="K45" s="224"/>
      <c r="L45" s="222"/>
      <c r="O45" s="236"/>
      <c r="P45" s="236"/>
    </row>
    <row r="46" spans="1:16" s="3" customFormat="1" x14ac:dyDescent="0.25">
      <c r="A46" s="15"/>
      <c r="B46" s="767" t="s">
        <v>26</v>
      </c>
      <c r="C46" s="768"/>
      <c r="D46" s="768"/>
      <c r="E46" s="768"/>
      <c r="F46" s="768"/>
      <c r="G46" s="768"/>
      <c r="H46" s="768"/>
      <c r="I46" s="768"/>
      <c r="J46" s="768"/>
      <c r="K46" s="768"/>
      <c r="L46" s="769"/>
      <c r="M46" s="216"/>
    </row>
    <row r="47" spans="1:16" s="182" customFormat="1" x14ac:dyDescent="0.25">
      <c r="A47" s="204"/>
      <c r="B47" s="220"/>
      <c r="C47" s="221"/>
      <c r="D47" s="221"/>
      <c r="E47" s="221"/>
      <c r="F47" s="221"/>
      <c r="G47" s="221"/>
      <c r="H47" s="221"/>
      <c r="I47" s="221"/>
      <c r="J47" s="221"/>
      <c r="K47" s="221"/>
      <c r="L47" s="206"/>
      <c r="O47" s="236"/>
      <c r="P47" s="236"/>
    </row>
    <row r="48" spans="1:16" s="182" customFormat="1" x14ac:dyDescent="0.25">
      <c r="A48" s="204"/>
      <c r="B48" s="672" t="str">
        <f>IF(Intro!$G$21="English",O48,P48)</f>
        <v>Si l'un ou l'autre des taux d'utilisation de la capacité, tel que calculé, est supérieur à 100 %, expliquez.</v>
      </c>
      <c r="C48" s="673"/>
      <c r="D48" s="673"/>
      <c r="E48" s="673"/>
      <c r="F48" s="673"/>
      <c r="G48" s="673"/>
      <c r="H48" s="673"/>
      <c r="I48" s="673"/>
      <c r="J48" s="673"/>
      <c r="K48" s="673"/>
      <c r="L48" s="674"/>
      <c r="O48" s="236" t="s">
        <v>352</v>
      </c>
      <c r="P48" s="236" t="s">
        <v>626</v>
      </c>
    </row>
    <row r="49" spans="1:16" s="182" customFormat="1" x14ac:dyDescent="0.25">
      <c r="A49" s="204"/>
      <c r="B49" s="220"/>
      <c r="C49" s="221"/>
      <c r="D49" s="221"/>
      <c r="E49" s="221"/>
      <c r="F49" s="221"/>
      <c r="G49" s="221"/>
      <c r="H49" s="221"/>
      <c r="I49" s="221"/>
      <c r="J49" s="221"/>
      <c r="K49" s="221"/>
      <c r="L49" s="206"/>
      <c r="O49" s="236"/>
      <c r="P49" s="236"/>
    </row>
    <row r="50" spans="1:16" s="3" customFormat="1" x14ac:dyDescent="0.25">
      <c r="A50" s="15"/>
      <c r="B50" s="773"/>
      <c r="C50" s="774"/>
      <c r="D50" s="774"/>
      <c r="E50" s="774"/>
      <c r="F50" s="774"/>
      <c r="G50" s="774"/>
      <c r="H50" s="774"/>
      <c r="I50" s="774"/>
      <c r="J50" s="774"/>
      <c r="K50" s="774"/>
      <c r="L50" s="775"/>
      <c r="M50" s="182"/>
      <c r="O50" s="176"/>
      <c r="P50" s="176"/>
    </row>
    <row r="51" spans="1:16" s="3" customFormat="1" x14ac:dyDescent="0.25">
      <c r="A51" s="15"/>
      <c r="B51" s="773"/>
      <c r="C51" s="774"/>
      <c r="D51" s="774"/>
      <c r="E51" s="774"/>
      <c r="F51" s="774"/>
      <c r="G51" s="774"/>
      <c r="H51" s="774"/>
      <c r="I51" s="774"/>
      <c r="J51" s="774"/>
      <c r="K51" s="774"/>
      <c r="L51" s="775"/>
      <c r="M51" s="182"/>
      <c r="O51" s="176"/>
      <c r="P51" s="176"/>
    </row>
    <row r="52" spans="1:16" s="3" customFormat="1" x14ac:dyDescent="0.25">
      <c r="A52" s="15"/>
      <c r="B52" s="773"/>
      <c r="C52" s="774"/>
      <c r="D52" s="774"/>
      <c r="E52" s="774"/>
      <c r="F52" s="774"/>
      <c r="G52" s="774"/>
      <c r="H52" s="774"/>
      <c r="I52" s="774"/>
      <c r="J52" s="774"/>
      <c r="K52" s="774"/>
      <c r="L52" s="775"/>
      <c r="M52" s="182"/>
      <c r="O52" s="176"/>
      <c r="P52" s="176"/>
    </row>
    <row r="53" spans="1:16" s="3" customFormat="1" x14ac:dyDescent="0.25">
      <c r="A53" s="15"/>
      <c r="B53" s="773"/>
      <c r="C53" s="774"/>
      <c r="D53" s="774"/>
      <c r="E53" s="774"/>
      <c r="F53" s="774"/>
      <c r="G53" s="774"/>
      <c r="H53" s="774"/>
      <c r="I53" s="774"/>
      <c r="J53" s="774"/>
      <c r="K53" s="774"/>
      <c r="L53" s="775"/>
      <c r="M53" s="182"/>
      <c r="O53" s="176"/>
      <c r="P53" s="176"/>
    </row>
    <row r="54" spans="1:16" s="3" customFormat="1" x14ac:dyDescent="0.25">
      <c r="A54" s="15"/>
      <c r="B54" s="773"/>
      <c r="C54" s="774"/>
      <c r="D54" s="774"/>
      <c r="E54" s="774"/>
      <c r="F54" s="774"/>
      <c r="G54" s="774"/>
      <c r="H54" s="774"/>
      <c r="I54" s="774"/>
      <c r="J54" s="774"/>
      <c r="K54" s="774"/>
      <c r="L54" s="775"/>
      <c r="M54" s="182"/>
      <c r="O54" s="176"/>
      <c r="P54" s="176"/>
    </row>
    <row r="55" spans="1:16" s="3" customFormat="1" x14ac:dyDescent="0.25">
      <c r="A55" s="15"/>
      <c r="B55" s="773"/>
      <c r="C55" s="774"/>
      <c r="D55" s="774"/>
      <c r="E55" s="774"/>
      <c r="F55" s="774"/>
      <c r="G55" s="774"/>
      <c r="H55" s="774"/>
      <c r="I55" s="774"/>
      <c r="J55" s="774"/>
      <c r="K55" s="774"/>
      <c r="L55" s="775"/>
      <c r="M55" s="182"/>
      <c r="O55" s="176"/>
      <c r="P55" s="176"/>
    </row>
    <row r="56" spans="1:16" s="3" customFormat="1" x14ac:dyDescent="0.25">
      <c r="A56" s="15"/>
      <c r="B56" s="773"/>
      <c r="C56" s="774"/>
      <c r="D56" s="774"/>
      <c r="E56" s="774"/>
      <c r="F56" s="774"/>
      <c r="G56" s="774"/>
      <c r="H56" s="774"/>
      <c r="I56" s="774"/>
      <c r="J56" s="774"/>
      <c r="K56" s="774"/>
      <c r="L56" s="775"/>
      <c r="M56" s="182"/>
      <c r="O56" s="176"/>
      <c r="P56" s="176"/>
    </row>
    <row r="57" spans="1:16" s="3" customFormat="1" x14ac:dyDescent="0.25">
      <c r="A57" s="15"/>
      <c r="B57" s="773"/>
      <c r="C57" s="774"/>
      <c r="D57" s="774"/>
      <c r="E57" s="774"/>
      <c r="F57" s="774"/>
      <c r="G57" s="774"/>
      <c r="H57" s="774"/>
      <c r="I57" s="774"/>
      <c r="J57" s="774"/>
      <c r="K57" s="774"/>
      <c r="L57" s="775"/>
      <c r="M57" s="182"/>
      <c r="O57" s="176"/>
      <c r="P57" s="176"/>
    </row>
    <row r="58" spans="1:16" s="182" customFormat="1" x14ac:dyDescent="0.25">
      <c r="A58" s="204"/>
      <c r="B58" s="223"/>
      <c r="C58" s="224"/>
      <c r="D58" s="224"/>
      <c r="E58" s="224"/>
      <c r="F58" s="224"/>
      <c r="G58" s="224"/>
      <c r="H58" s="224"/>
      <c r="I58" s="224"/>
      <c r="J58" s="224"/>
      <c r="K58" s="224"/>
      <c r="L58" s="222"/>
      <c r="O58" s="236"/>
      <c r="P58" s="236"/>
    </row>
    <row r="59" spans="1:16" s="3" customFormat="1" x14ac:dyDescent="0.25">
      <c r="A59" s="15"/>
      <c r="B59" s="767" t="s">
        <v>27</v>
      </c>
      <c r="C59" s="768"/>
      <c r="D59" s="768"/>
      <c r="E59" s="768"/>
      <c r="F59" s="768"/>
      <c r="G59" s="768"/>
      <c r="H59" s="768"/>
      <c r="I59" s="768"/>
      <c r="J59" s="768"/>
      <c r="K59" s="768"/>
      <c r="L59" s="769"/>
      <c r="M59" s="216"/>
    </row>
    <row r="60" spans="1:16" s="182" customFormat="1" x14ac:dyDescent="0.25">
      <c r="A60" s="204"/>
      <c r="B60" s="220"/>
      <c r="C60" s="221"/>
      <c r="D60" s="221"/>
      <c r="E60" s="221"/>
      <c r="F60" s="221"/>
      <c r="G60" s="221"/>
      <c r="H60" s="221"/>
      <c r="I60" s="221"/>
      <c r="J60" s="221"/>
      <c r="K60" s="221"/>
      <c r="L60" s="206"/>
      <c r="O60" s="236"/>
      <c r="P60" s="236"/>
    </row>
    <row r="61" spans="1:16" s="182" customFormat="1" x14ac:dyDescent="0.25">
      <c r="A61" s="204"/>
      <c r="B61" s="672" t="str">
        <f>IF(Intro!$G$21="English",O61,P61)</f>
        <v>Si la capacité pratique de l’usine a changé depuis le 1er janvier 2022, expliquez comment cela a été réalisé.</v>
      </c>
      <c r="C61" s="673"/>
      <c r="D61" s="673"/>
      <c r="E61" s="673"/>
      <c r="F61" s="673"/>
      <c r="G61" s="673"/>
      <c r="H61" s="673"/>
      <c r="I61" s="673"/>
      <c r="J61" s="673"/>
      <c r="K61" s="673"/>
      <c r="L61" s="674"/>
      <c r="O61" s="236" t="str">
        <f>"If practical plant capacity has changed since "&amp;Variables!$B$6&amp;", explain how this was achieved."</f>
        <v>If practical plant capacity has changed since 2022, explain how this was achieved.</v>
      </c>
      <c r="P61" s="236" t="str">
        <f>"Si la capacité pratique de l’usine a changé depuis le 1er janvier "&amp;Variables!B6&amp;", expliquez comment cela a été réalisé."</f>
        <v>Si la capacité pratique de l’usine a changé depuis le 1er janvier 2022, expliquez comment cela a été réalisé.</v>
      </c>
    </row>
    <row r="62" spans="1:16" s="182" customFormat="1" x14ac:dyDescent="0.25">
      <c r="A62" s="204"/>
      <c r="B62" s="220"/>
      <c r="C62" s="221"/>
      <c r="D62" s="221"/>
      <c r="E62" s="221"/>
      <c r="F62" s="221"/>
      <c r="G62" s="221"/>
      <c r="H62" s="221"/>
      <c r="I62" s="221"/>
      <c r="J62" s="221"/>
      <c r="K62" s="221"/>
      <c r="L62" s="206"/>
      <c r="O62" s="236"/>
      <c r="P62" s="23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3" customFormat="1" x14ac:dyDescent="0.25">
      <c r="A67" s="15"/>
      <c r="B67" s="773"/>
      <c r="C67" s="774"/>
      <c r="D67" s="774"/>
      <c r="E67" s="774"/>
      <c r="F67" s="774"/>
      <c r="G67" s="774"/>
      <c r="H67" s="774"/>
      <c r="I67" s="774"/>
      <c r="J67" s="774"/>
      <c r="K67" s="774"/>
      <c r="L67" s="775"/>
      <c r="M67" s="182"/>
      <c r="O67" s="176"/>
      <c r="P67" s="176"/>
    </row>
    <row r="68" spans="1:16" s="3" customFormat="1" x14ac:dyDescent="0.25">
      <c r="A68" s="15"/>
      <c r="B68" s="773"/>
      <c r="C68" s="774"/>
      <c r="D68" s="774"/>
      <c r="E68" s="774"/>
      <c r="F68" s="774"/>
      <c r="G68" s="774"/>
      <c r="H68" s="774"/>
      <c r="I68" s="774"/>
      <c r="J68" s="774"/>
      <c r="K68" s="774"/>
      <c r="L68" s="775"/>
      <c r="M68" s="182"/>
      <c r="O68" s="176"/>
      <c r="P68" s="176"/>
    </row>
    <row r="69" spans="1:16" s="3" customFormat="1" x14ac:dyDescent="0.25">
      <c r="A69" s="15"/>
      <c r="B69" s="773"/>
      <c r="C69" s="774"/>
      <c r="D69" s="774"/>
      <c r="E69" s="774"/>
      <c r="F69" s="774"/>
      <c r="G69" s="774"/>
      <c r="H69" s="774"/>
      <c r="I69" s="774"/>
      <c r="J69" s="774"/>
      <c r="K69" s="774"/>
      <c r="L69" s="775"/>
      <c r="M69" s="182"/>
      <c r="O69" s="176"/>
      <c r="P69" s="176"/>
    </row>
    <row r="70" spans="1:16" s="3" customFormat="1" x14ac:dyDescent="0.25">
      <c r="A70" s="15"/>
      <c r="B70" s="773"/>
      <c r="C70" s="774"/>
      <c r="D70" s="774"/>
      <c r="E70" s="774"/>
      <c r="F70" s="774"/>
      <c r="G70" s="774"/>
      <c r="H70" s="774"/>
      <c r="I70" s="774"/>
      <c r="J70" s="774"/>
      <c r="K70" s="774"/>
      <c r="L70" s="775"/>
      <c r="M70" s="182"/>
      <c r="O70" s="176"/>
      <c r="P70" s="176"/>
    </row>
    <row r="71" spans="1:16" s="182" customFormat="1" x14ac:dyDescent="0.25">
      <c r="A71" s="204"/>
      <c r="B71" s="223"/>
      <c r="C71" s="224"/>
      <c r="D71" s="224"/>
      <c r="E71" s="224"/>
      <c r="F71" s="224"/>
      <c r="G71" s="224"/>
      <c r="H71" s="224"/>
      <c r="I71" s="224"/>
      <c r="J71" s="224"/>
      <c r="K71" s="224"/>
      <c r="L71" s="222"/>
      <c r="O71" s="236"/>
      <c r="P71" s="236"/>
    </row>
    <row r="72" spans="1:16" s="3" customFormat="1" x14ac:dyDescent="0.25">
      <c r="A72" s="15"/>
      <c r="B72" s="767" t="s">
        <v>28</v>
      </c>
      <c r="C72" s="768"/>
      <c r="D72" s="768"/>
      <c r="E72" s="768"/>
      <c r="F72" s="768"/>
      <c r="G72" s="768"/>
      <c r="H72" s="768"/>
      <c r="I72" s="768"/>
      <c r="J72" s="768"/>
      <c r="K72" s="768"/>
      <c r="L72" s="769"/>
      <c r="M72" s="216"/>
    </row>
    <row r="73" spans="1:16" s="182" customFormat="1" x14ac:dyDescent="0.25">
      <c r="A73" s="204"/>
      <c r="B73" s="220"/>
      <c r="C73" s="221"/>
      <c r="D73" s="221"/>
      <c r="E73" s="221"/>
      <c r="F73" s="221"/>
      <c r="G73" s="221"/>
      <c r="H73" s="221"/>
      <c r="I73" s="221"/>
      <c r="J73" s="221"/>
      <c r="K73" s="221"/>
      <c r="L73" s="206"/>
      <c r="O73" s="236"/>
      <c r="P73" s="236"/>
    </row>
    <row r="74" spans="1:16" s="182" customFormat="1" x14ac:dyDescent="0.25">
      <c r="A74" s="204"/>
      <c r="B74" s="672" t="str">
        <f>IF(Intro!$G$21="English",O74,P74)</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4" s="673"/>
      <c r="D74" s="673"/>
      <c r="E74" s="673"/>
      <c r="F74" s="673"/>
      <c r="G74" s="673"/>
      <c r="H74" s="673"/>
      <c r="I74" s="673"/>
      <c r="J74" s="673"/>
      <c r="K74" s="673"/>
      <c r="L74" s="674"/>
      <c r="O74" s="236" t="s">
        <v>438</v>
      </c>
      <c r="P74" s="236" t="s">
        <v>362</v>
      </c>
    </row>
    <row r="75" spans="1:16" s="182" customFormat="1" x14ac:dyDescent="0.25">
      <c r="A75" s="204"/>
      <c r="B75" s="672"/>
      <c r="C75" s="673"/>
      <c r="D75" s="673"/>
      <c r="E75" s="673"/>
      <c r="F75" s="673"/>
      <c r="G75" s="673"/>
      <c r="H75" s="673"/>
      <c r="I75" s="673"/>
      <c r="J75" s="673"/>
      <c r="K75" s="673"/>
      <c r="L75" s="674"/>
      <c r="O75" s="236"/>
      <c r="P75" s="236"/>
    </row>
    <row r="76" spans="1:16" s="182" customFormat="1" x14ac:dyDescent="0.25">
      <c r="A76" s="204"/>
      <c r="B76" s="220"/>
      <c r="C76" s="221"/>
      <c r="D76" s="221"/>
      <c r="E76" s="221"/>
      <c r="F76" s="221"/>
      <c r="G76" s="221"/>
      <c r="H76" s="221"/>
      <c r="I76" s="221"/>
      <c r="J76" s="221"/>
      <c r="K76" s="221"/>
      <c r="L76" s="206"/>
      <c r="O76" s="236"/>
      <c r="P76" s="23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3" customFormat="1" x14ac:dyDescent="0.25">
      <c r="A80" s="15"/>
      <c r="B80" s="773"/>
      <c r="C80" s="774"/>
      <c r="D80" s="774"/>
      <c r="E80" s="774"/>
      <c r="F80" s="774"/>
      <c r="G80" s="774"/>
      <c r="H80" s="774"/>
      <c r="I80" s="774"/>
      <c r="J80" s="774"/>
      <c r="K80" s="774"/>
      <c r="L80" s="775"/>
      <c r="M80" s="182"/>
      <c r="O80" s="176"/>
      <c r="P80" s="176"/>
    </row>
    <row r="81" spans="1:16" s="3" customFormat="1" x14ac:dyDescent="0.25">
      <c r="A81" s="15"/>
      <c r="B81" s="773"/>
      <c r="C81" s="774"/>
      <c r="D81" s="774"/>
      <c r="E81" s="774"/>
      <c r="F81" s="774"/>
      <c r="G81" s="774"/>
      <c r="H81" s="774"/>
      <c r="I81" s="774"/>
      <c r="J81" s="774"/>
      <c r="K81" s="774"/>
      <c r="L81" s="775"/>
      <c r="M81" s="182"/>
      <c r="O81" s="176"/>
      <c r="P81" s="176"/>
    </row>
    <row r="82" spans="1:16" s="3" customFormat="1" x14ac:dyDescent="0.25">
      <c r="A82" s="15"/>
      <c r="B82" s="773"/>
      <c r="C82" s="774"/>
      <c r="D82" s="774"/>
      <c r="E82" s="774"/>
      <c r="F82" s="774"/>
      <c r="G82" s="774"/>
      <c r="H82" s="774"/>
      <c r="I82" s="774"/>
      <c r="J82" s="774"/>
      <c r="K82" s="774"/>
      <c r="L82" s="775"/>
      <c r="M82" s="182"/>
      <c r="O82" s="176"/>
      <c r="P82" s="176"/>
    </row>
    <row r="83" spans="1:16" s="3" customFormat="1" x14ac:dyDescent="0.25">
      <c r="A83" s="15"/>
      <c r="B83" s="773"/>
      <c r="C83" s="774"/>
      <c r="D83" s="774"/>
      <c r="E83" s="774"/>
      <c r="F83" s="774"/>
      <c r="G83" s="774"/>
      <c r="H83" s="774"/>
      <c r="I83" s="774"/>
      <c r="J83" s="774"/>
      <c r="K83" s="774"/>
      <c r="L83" s="775"/>
      <c r="M83" s="182"/>
      <c r="O83" s="176"/>
      <c r="P83" s="176"/>
    </row>
    <row r="84" spans="1:16" s="3" customFormat="1" x14ac:dyDescent="0.25">
      <c r="A84" s="15"/>
      <c r="B84" s="773"/>
      <c r="C84" s="774"/>
      <c r="D84" s="774"/>
      <c r="E84" s="774"/>
      <c r="F84" s="774"/>
      <c r="G84" s="774"/>
      <c r="H84" s="774"/>
      <c r="I84" s="774"/>
      <c r="J84" s="774"/>
      <c r="K84" s="774"/>
      <c r="L84" s="775"/>
      <c r="M84" s="182"/>
      <c r="O84" s="176"/>
      <c r="P84" s="176"/>
    </row>
    <row r="85" spans="1:16" s="182" customFormat="1" x14ac:dyDescent="0.25">
      <c r="A85" s="204"/>
      <c r="B85" s="223"/>
      <c r="C85" s="224"/>
      <c r="D85" s="224"/>
      <c r="E85" s="224"/>
      <c r="F85" s="224"/>
      <c r="G85" s="224"/>
      <c r="H85" s="224"/>
      <c r="I85" s="224"/>
      <c r="J85" s="224"/>
      <c r="K85" s="224"/>
      <c r="L85" s="222"/>
      <c r="O85" s="236"/>
      <c r="P85" s="236"/>
    </row>
    <row r="86" spans="1:16" s="3" customFormat="1" x14ac:dyDescent="0.25">
      <c r="A86" s="15"/>
      <c r="B86" s="767" t="s">
        <v>30</v>
      </c>
      <c r="C86" s="768"/>
      <c r="D86" s="768"/>
      <c r="E86" s="768"/>
      <c r="F86" s="768"/>
      <c r="G86" s="768"/>
      <c r="H86" s="768"/>
      <c r="I86" s="768"/>
      <c r="J86" s="768"/>
      <c r="K86" s="768"/>
      <c r="L86" s="769"/>
      <c r="M86" s="216"/>
    </row>
    <row r="87" spans="1:16" s="182" customFormat="1" x14ac:dyDescent="0.25">
      <c r="A87" s="204"/>
      <c r="B87" s="220"/>
      <c r="C87" s="221"/>
      <c r="D87" s="221"/>
      <c r="E87" s="221"/>
      <c r="F87" s="221"/>
      <c r="G87" s="221"/>
      <c r="H87" s="221"/>
      <c r="I87" s="221"/>
      <c r="J87" s="221"/>
      <c r="K87" s="221"/>
      <c r="L87" s="206"/>
      <c r="O87" s="236"/>
      <c r="P87" s="236"/>
    </row>
    <row r="88" spans="1:16" s="182" customFormat="1" x14ac:dyDescent="0.25">
      <c r="A88" s="204"/>
      <c r="B88" s="694" t="str">
        <f>IF(Intro!$G$21="English",O88,P88)</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88" s="695"/>
      <c r="D88" s="695"/>
      <c r="E88" s="695"/>
      <c r="F88" s="695"/>
      <c r="G88" s="695"/>
      <c r="H88" s="695"/>
      <c r="I88" s="695"/>
      <c r="J88" s="695"/>
      <c r="K88" s="695"/>
      <c r="L88" s="696"/>
      <c r="O88" s="236" t="s">
        <v>439</v>
      </c>
      <c r="P88" s="236" t="s">
        <v>363</v>
      </c>
    </row>
    <row r="89" spans="1:16" s="182" customFormat="1" x14ac:dyDescent="0.25">
      <c r="A89" s="204"/>
      <c r="B89" s="694"/>
      <c r="C89" s="695"/>
      <c r="D89" s="695"/>
      <c r="E89" s="695"/>
      <c r="F89" s="695"/>
      <c r="G89" s="695"/>
      <c r="H89" s="695"/>
      <c r="I89" s="695"/>
      <c r="J89" s="695"/>
      <c r="K89" s="695"/>
      <c r="L89" s="696"/>
      <c r="O89" s="236"/>
      <c r="P89" s="236"/>
    </row>
    <row r="90" spans="1:16" s="182" customFormat="1" x14ac:dyDescent="0.25">
      <c r="A90" s="204"/>
      <c r="B90" s="694"/>
      <c r="C90" s="695"/>
      <c r="D90" s="695"/>
      <c r="E90" s="695"/>
      <c r="F90" s="695"/>
      <c r="G90" s="695"/>
      <c r="H90" s="695"/>
      <c r="I90" s="695"/>
      <c r="J90" s="695"/>
      <c r="K90" s="695"/>
      <c r="L90" s="696"/>
      <c r="O90" s="236"/>
      <c r="P90" s="236"/>
    </row>
    <row r="91" spans="1:16" s="182" customFormat="1" x14ac:dyDescent="0.25">
      <c r="A91" s="204"/>
      <c r="B91" s="220"/>
      <c r="C91" s="221"/>
      <c r="D91" s="221"/>
      <c r="E91" s="221"/>
      <c r="F91" s="221"/>
      <c r="G91" s="221"/>
      <c r="H91" s="221"/>
      <c r="I91" s="221"/>
      <c r="J91" s="221"/>
      <c r="K91" s="221"/>
      <c r="L91" s="206"/>
      <c r="O91" s="236"/>
      <c r="P91" s="236"/>
    </row>
    <row r="92" spans="1:16" s="3" customFormat="1" ht="14.25" customHeight="1" x14ac:dyDescent="0.25">
      <c r="A92" s="15"/>
      <c r="B92" s="773"/>
      <c r="C92" s="774"/>
      <c r="D92" s="774"/>
      <c r="E92" s="774"/>
      <c r="F92" s="774"/>
      <c r="G92" s="774"/>
      <c r="H92" s="774"/>
      <c r="I92" s="774"/>
      <c r="J92" s="774"/>
      <c r="K92" s="774"/>
      <c r="L92" s="775"/>
      <c r="M92" s="182"/>
      <c r="O92" s="176"/>
      <c r="P92" s="176"/>
    </row>
    <row r="93" spans="1:16" s="3" customFormat="1" x14ac:dyDescent="0.25">
      <c r="A93" s="15"/>
      <c r="B93" s="773"/>
      <c r="C93" s="774"/>
      <c r="D93" s="774"/>
      <c r="E93" s="774"/>
      <c r="F93" s="774"/>
      <c r="G93" s="774"/>
      <c r="H93" s="774"/>
      <c r="I93" s="774"/>
      <c r="J93" s="774"/>
      <c r="K93" s="774"/>
      <c r="L93" s="775"/>
      <c r="M93" s="182"/>
      <c r="O93" s="176"/>
      <c r="P93" s="176"/>
    </row>
    <row r="94" spans="1:16" s="3" customFormat="1" x14ac:dyDescent="0.25">
      <c r="A94" s="15"/>
      <c r="B94" s="773"/>
      <c r="C94" s="774"/>
      <c r="D94" s="774"/>
      <c r="E94" s="774"/>
      <c r="F94" s="774"/>
      <c r="G94" s="774"/>
      <c r="H94" s="774"/>
      <c r="I94" s="774"/>
      <c r="J94" s="774"/>
      <c r="K94" s="774"/>
      <c r="L94" s="775"/>
      <c r="M94" s="182"/>
      <c r="O94" s="176"/>
      <c r="P94" s="176"/>
    </row>
    <row r="95" spans="1:16" s="3" customFormat="1" x14ac:dyDescent="0.25">
      <c r="A95" s="15"/>
      <c r="B95" s="773"/>
      <c r="C95" s="774"/>
      <c r="D95" s="774"/>
      <c r="E95" s="774"/>
      <c r="F95" s="774"/>
      <c r="G95" s="774"/>
      <c r="H95" s="774"/>
      <c r="I95" s="774"/>
      <c r="J95" s="774"/>
      <c r="K95" s="774"/>
      <c r="L95" s="775"/>
      <c r="M95" s="182"/>
      <c r="O95" s="176"/>
      <c r="P95" s="176"/>
    </row>
    <row r="96" spans="1:16" s="3" customFormat="1" x14ac:dyDescent="0.25">
      <c r="A96" s="15"/>
      <c r="B96" s="773"/>
      <c r="C96" s="774"/>
      <c r="D96" s="774"/>
      <c r="E96" s="774"/>
      <c r="F96" s="774"/>
      <c r="G96" s="774"/>
      <c r="H96" s="774"/>
      <c r="I96" s="774"/>
      <c r="J96" s="774"/>
      <c r="K96" s="774"/>
      <c r="L96" s="775"/>
      <c r="M96" s="182"/>
      <c r="O96" s="176"/>
      <c r="P96" s="176"/>
    </row>
    <row r="97" spans="1:16" s="3" customFormat="1" x14ac:dyDescent="0.25">
      <c r="A97" s="15"/>
      <c r="B97" s="773"/>
      <c r="C97" s="774"/>
      <c r="D97" s="774"/>
      <c r="E97" s="774"/>
      <c r="F97" s="774"/>
      <c r="G97" s="774"/>
      <c r="H97" s="774"/>
      <c r="I97" s="774"/>
      <c r="J97" s="774"/>
      <c r="K97" s="774"/>
      <c r="L97" s="775"/>
      <c r="M97" s="182"/>
      <c r="O97" s="176"/>
      <c r="P97" s="176"/>
    </row>
    <row r="98" spans="1:16" s="3" customFormat="1" x14ac:dyDescent="0.25">
      <c r="A98" s="15"/>
      <c r="B98" s="773"/>
      <c r="C98" s="774"/>
      <c r="D98" s="774"/>
      <c r="E98" s="774"/>
      <c r="F98" s="774"/>
      <c r="G98" s="774"/>
      <c r="H98" s="774"/>
      <c r="I98" s="774"/>
      <c r="J98" s="774"/>
      <c r="K98" s="774"/>
      <c r="L98" s="775"/>
      <c r="M98" s="182"/>
      <c r="O98" s="176"/>
      <c r="P98" s="176"/>
    </row>
    <row r="99" spans="1:16" s="182" customFormat="1" x14ac:dyDescent="0.25">
      <c r="A99" s="204"/>
      <c r="B99" s="223"/>
      <c r="C99" s="224"/>
      <c r="D99" s="224"/>
      <c r="E99" s="224"/>
      <c r="F99" s="224"/>
      <c r="G99" s="224"/>
      <c r="H99" s="224"/>
      <c r="I99" s="224"/>
      <c r="J99" s="224"/>
      <c r="K99" s="224"/>
      <c r="L99" s="222"/>
      <c r="O99" s="236"/>
      <c r="P99" s="236"/>
    </row>
    <row r="100" spans="1:16" s="3" customFormat="1" x14ac:dyDescent="0.25">
      <c r="A100" s="15"/>
      <c r="B100" s="767" t="s">
        <v>31</v>
      </c>
      <c r="C100" s="768"/>
      <c r="D100" s="768"/>
      <c r="E100" s="768"/>
      <c r="F100" s="768"/>
      <c r="G100" s="768"/>
      <c r="H100" s="768"/>
      <c r="I100" s="768"/>
      <c r="J100" s="768"/>
      <c r="K100" s="768"/>
      <c r="L100" s="769"/>
      <c r="M100" s="216"/>
    </row>
    <row r="101" spans="1:16" s="182" customFormat="1" x14ac:dyDescent="0.25">
      <c r="A101" s="204"/>
      <c r="B101" s="220"/>
      <c r="C101" s="221"/>
      <c r="D101" s="221"/>
      <c r="E101" s="221"/>
      <c r="F101" s="221"/>
      <c r="G101" s="221"/>
      <c r="H101" s="221"/>
      <c r="I101" s="221"/>
      <c r="J101" s="221"/>
      <c r="K101" s="221"/>
      <c r="L101" s="206"/>
      <c r="O101" s="236"/>
      <c r="P101" s="236"/>
    </row>
    <row r="102" spans="1:16" s="182" customFormat="1" x14ac:dyDescent="0.25">
      <c r="A102" s="204"/>
      <c r="B102" s="672" t="str">
        <f>IF(Intro!$G$21="English",O102,P102)</f>
        <v>Votre entreprise envisage-t-elle de modifier la gamme de produits fabriqués sur le même équipement au cours des deux prochaines années? Fournissez les motifs et les hypothèses sous-tendant ces objectifs et ces stratégies.</v>
      </c>
      <c r="C102" s="673"/>
      <c r="D102" s="673"/>
      <c r="E102" s="673"/>
      <c r="F102" s="673"/>
      <c r="G102" s="673"/>
      <c r="H102" s="673"/>
      <c r="I102" s="673"/>
      <c r="J102" s="673"/>
      <c r="K102" s="673"/>
      <c r="L102" s="674"/>
      <c r="O102" s="236" t="s">
        <v>440</v>
      </c>
      <c r="P102" s="236" t="s">
        <v>364</v>
      </c>
    </row>
    <row r="103" spans="1:16" s="182" customFormat="1" x14ac:dyDescent="0.25">
      <c r="A103" s="204"/>
      <c r="B103" s="672"/>
      <c r="C103" s="673"/>
      <c r="D103" s="673"/>
      <c r="E103" s="673"/>
      <c r="F103" s="673"/>
      <c r="G103" s="673"/>
      <c r="H103" s="673"/>
      <c r="I103" s="673"/>
      <c r="J103" s="673"/>
      <c r="K103" s="673"/>
      <c r="L103" s="674"/>
      <c r="O103" s="236"/>
      <c r="P103" s="236"/>
    </row>
    <row r="104" spans="1:16" s="182" customFormat="1" x14ac:dyDescent="0.25">
      <c r="A104" s="204"/>
      <c r="B104" s="220"/>
      <c r="C104" s="221"/>
      <c r="D104" s="221"/>
      <c r="E104" s="221"/>
      <c r="F104" s="221"/>
      <c r="G104" s="221"/>
      <c r="H104" s="221"/>
      <c r="I104" s="221"/>
      <c r="J104" s="221"/>
      <c r="K104" s="221"/>
      <c r="L104" s="206"/>
      <c r="O104" s="236"/>
      <c r="P104" s="236"/>
    </row>
    <row r="105" spans="1:16" s="3" customFormat="1" x14ac:dyDescent="0.25">
      <c r="A105" s="15"/>
      <c r="B105" s="773"/>
      <c r="C105" s="774"/>
      <c r="D105" s="774"/>
      <c r="E105" s="774"/>
      <c r="F105" s="774"/>
      <c r="G105" s="774"/>
      <c r="H105" s="774"/>
      <c r="I105" s="774"/>
      <c r="J105" s="774"/>
      <c r="K105" s="774"/>
      <c r="L105" s="775"/>
      <c r="M105" s="182"/>
      <c r="O105" s="176"/>
      <c r="P105" s="176"/>
    </row>
    <row r="106" spans="1:16" s="3" customFormat="1" x14ac:dyDescent="0.25">
      <c r="A106" s="15"/>
      <c r="B106" s="773"/>
      <c r="C106" s="774"/>
      <c r="D106" s="774"/>
      <c r="E106" s="774"/>
      <c r="F106" s="774"/>
      <c r="G106" s="774"/>
      <c r="H106" s="774"/>
      <c r="I106" s="774"/>
      <c r="J106" s="774"/>
      <c r="K106" s="774"/>
      <c r="L106" s="775"/>
      <c r="M106" s="182"/>
      <c r="O106" s="176"/>
      <c r="P106" s="176"/>
    </row>
    <row r="107" spans="1:16" s="3" customFormat="1" x14ac:dyDescent="0.25">
      <c r="A107" s="15"/>
      <c r="B107" s="773"/>
      <c r="C107" s="774"/>
      <c r="D107" s="774"/>
      <c r="E107" s="774"/>
      <c r="F107" s="774"/>
      <c r="G107" s="774"/>
      <c r="H107" s="774"/>
      <c r="I107" s="774"/>
      <c r="J107" s="774"/>
      <c r="K107" s="774"/>
      <c r="L107" s="775"/>
      <c r="M107" s="182"/>
      <c r="O107" s="176"/>
      <c r="P107" s="176"/>
    </row>
    <row r="108" spans="1:16" s="3" customFormat="1" x14ac:dyDescent="0.25">
      <c r="A108" s="15"/>
      <c r="B108" s="773"/>
      <c r="C108" s="774"/>
      <c r="D108" s="774"/>
      <c r="E108" s="774"/>
      <c r="F108" s="774"/>
      <c r="G108" s="774"/>
      <c r="H108" s="774"/>
      <c r="I108" s="774"/>
      <c r="J108" s="774"/>
      <c r="K108" s="774"/>
      <c r="L108" s="775"/>
      <c r="M108" s="182"/>
      <c r="O108" s="176"/>
      <c r="P108" s="176"/>
    </row>
    <row r="109" spans="1:16" s="3" customFormat="1" x14ac:dyDescent="0.25">
      <c r="A109" s="15"/>
      <c r="B109" s="773"/>
      <c r="C109" s="774"/>
      <c r="D109" s="774"/>
      <c r="E109" s="774"/>
      <c r="F109" s="774"/>
      <c r="G109" s="774"/>
      <c r="H109" s="774"/>
      <c r="I109" s="774"/>
      <c r="J109" s="774"/>
      <c r="K109" s="774"/>
      <c r="L109" s="775"/>
      <c r="M109" s="182"/>
      <c r="O109" s="176"/>
      <c r="P109" s="176"/>
    </row>
    <row r="110" spans="1:16" s="3" customFormat="1" x14ac:dyDescent="0.25">
      <c r="A110" s="15"/>
      <c r="B110" s="773"/>
      <c r="C110" s="774"/>
      <c r="D110" s="774"/>
      <c r="E110" s="774"/>
      <c r="F110" s="774"/>
      <c r="G110" s="774"/>
      <c r="H110" s="774"/>
      <c r="I110" s="774"/>
      <c r="J110" s="774"/>
      <c r="K110" s="774"/>
      <c r="L110" s="775"/>
      <c r="M110" s="182"/>
      <c r="O110" s="176"/>
      <c r="P110" s="176"/>
    </row>
    <row r="111" spans="1:16" s="3" customFormat="1" x14ac:dyDescent="0.25">
      <c r="A111" s="15"/>
      <c r="B111" s="773"/>
      <c r="C111" s="774"/>
      <c r="D111" s="774"/>
      <c r="E111" s="774"/>
      <c r="F111" s="774"/>
      <c r="G111" s="774"/>
      <c r="H111" s="774"/>
      <c r="I111" s="774"/>
      <c r="J111" s="774"/>
      <c r="K111" s="774"/>
      <c r="L111" s="775"/>
      <c r="M111" s="182"/>
      <c r="O111" s="176"/>
      <c r="P111" s="176"/>
    </row>
    <row r="112" spans="1:16" s="3" customFormat="1" x14ac:dyDescent="0.25">
      <c r="A112" s="15"/>
      <c r="B112" s="773"/>
      <c r="C112" s="774"/>
      <c r="D112" s="774"/>
      <c r="E112" s="774"/>
      <c r="F112" s="774"/>
      <c r="G112" s="774"/>
      <c r="H112" s="774"/>
      <c r="I112" s="774"/>
      <c r="J112" s="774"/>
      <c r="K112" s="774"/>
      <c r="L112" s="775"/>
      <c r="M112" s="182"/>
      <c r="O112" s="176"/>
      <c r="P112" s="176"/>
    </row>
    <row r="113" spans="1:16" s="182" customFormat="1" x14ac:dyDescent="0.25">
      <c r="A113" s="204"/>
      <c r="B113" s="223"/>
      <c r="C113" s="224"/>
      <c r="D113" s="224"/>
      <c r="E113" s="224"/>
      <c r="F113" s="224"/>
      <c r="G113" s="224"/>
      <c r="H113" s="224"/>
      <c r="I113" s="224"/>
      <c r="J113" s="224"/>
      <c r="K113" s="224"/>
      <c r="L113" s="222"/>
      <c r="O113" s="236"/>
      <c r="P113" s="236"/>
    </row>
  </sheetData>
  <sheetProtection algorithmName="SHA-512" hashValue="QrUuzf1M2/LhP8qcZ2JaORA2pMy0pUkXjV6igjsLWScGqZBkYuRHW9hs/tcMe/u2PSksaaMagaj4YAYBDuNx7g==" saltValue="8syuWhdtJ8PIP/HKZk2+kw==" spinCount="100000" sheet="1" objects="1" scenarios="1" selectLockedCells="1"/>
  <mergeCells count="52">
    <mergeCell ref="B105:L112"/>
    <mergeCell ref="B63:L70"/>
    <mergeCell ref="B77:L84"/>
    <mergeCell ref="B86:L86"/>
    <mergeCell ref="B100:L100"/>
    <mergeCell ref="B72:L72"/>
    <mergeCell ref="B102:L103"/>
    <mergeCell ref="B88:L90"/>
    <mergeCell ref="B74:L75"/>
    <mergeCell ref="B92:L98"/>
    <mergeCell ref="B35:L35"/>
    <mergeCell ref="B48:L48"/>
    <mergeCell ref="B61:L61"/>
    <mergeCell ref="B30:E30"/>
    <mergeCell ref="B31:E31"/>
    <mergeCell ref="B37:L44"/>
    <mergeCell ref="B50:L57"/>
    <mergeCell ref="B33:L33"/>
    <mergeCell ref="B46:L46"/>
    <mergeCell ref="B59:L59"/>
    <mergeCell ref="B28:E28"/>
    <mergeCell ref="B29:E29"/>
    <mergeCell ref="B8:L8"/>
    <mergeCell ref="B9:L9"/>
    <mergeCell ref="B10:L10"/>
    <mergeCell ref="B21:E21"/>
    <mergeCell ref="B22:E22"/>
    <mergeCell ref="B25:E25"/>
    <mergeCell ref="B15:L17"/>
    <mergeCell ref="G19:G20"/>
    <mergeCell ref="H19:H20"/>
    <mergeCell ref="I19:I20"/>
    <mergeCell ref="J19:J20"/>
    <mergeCell ref="H23:H24"/>
    <mergeCell ref="I23:I24"/>
    <mergeCell ref="J23:J24"/>
    <mergeCell ref="K23:K24"/>
    <mergeCell ref="B4:L4"/>
    <mergeCell ref="B5:L5"/>
    <mergeCell ref="B6:L6"/>
    <mergeCell ref="B13:L13"/>
    <mergeCell ref="K19:K20"/>
    <mergeCell ref="B23:E24"/>
    <mergeCell ref="F23:F24"/>
    <mergeCell ref="G23:G24"/>
    <mergeCell ref="J26:J27"/>
    <mergeCell ref="K26:K27"/>
    <mergeCell ref="B26:E27"/>
    <mergeCell ref="F26:F27"/>
    <mergeCell ref="G26:G27"/>
    <mergeCell ref="H26:H27"/>
    <mergeCell ref="I26:I27"/>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3 G25:K26 G28:K31"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7 B50 B63 B77 B92 B105" xr:uid="{9A88E553-ACFB-40FF-B26F-32C105B2B41B}">
      <formula1>1000</formula1>
    </dataValidation>
  </dataValidations>
  <printOptions horizontalCentered="1"/>
  <pageMargins left="0.25" right="0.25" top="0.75" bottom="0.75" header="0.3" footer="0.3"/>
  <pageSetup scale="63" firstPageNumber="16" fitToHeight="0" orientation="portrait" r:id="rId1"/>
  <headerFooter>
    <oddFooter>&amp;L&amp;A</oddFooter>
  </headerFooter>
  <rowBreaks count="1" manualBreakCount="1">
    <brk id="5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337"/>
  <sheetViews>
    <sheetView showGridLines="0" zoomScaleNormal="100" zoomScaleSheetLayoutView="55"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15.5703125" style="2" hidden="1" customWidth="1"/>
    <col min="17" max="17" width="15.5703125" style="2" customWidth="1"/>
    <col min="18" max="16384" width="9.28515625" style="2"/>
  </cols>
  <sheetData>
    <row r="1" spans="1:16" x14ac:dyDescent="0.25">
      <c r="O1" s="3" t="s">
        <v>169</v>
      </c>
      <c r="P1" s="3" t="s">
        <v>170</v>
      </c>
    </row>
    <row r="2" spans="1:16" x14ac:dyDescent="0.25">
      <c r="B2" s="27" t="str">
        <f>'Pro 1'!B2</f>
        <v>PROTÉGÉ</v>
      </c>
      <c r="C2" s="27"/>
      <c r="D2" s="27"/>
      <c r="O2" s="9"/>
      <c r="P2" s="9"/>
    </row>
    <row r="3" spans="1:16" x14ac:dyDescent="0.25">
      <c r="B3" s="28"/>
      <c r="C3" s="28"/>
      <c r="D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VAISSELLE EN FIBRE MOULÉE THERMOFORMÉE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Les questions suivantes font référence aux marchandises comme définies dans la description du produit de l'onglet Intro.</v>
      </c>
      <c r="C8" s="792"/>
      <c r="D8" s="792"/>
      <c r="E8" s="792"/>
      <c r="F8" s="792"/>
      <c r="G8" s="792"/>
      <c r="H8" s="792"/>
      <c r="I8" s="792"/>
      <c r="J8" s="792"/>
      <c r="K8" s="792"/>
      <c r="L8" s="792"/>
      <c r="M8" s="17"/>
      <c r="N8" s="17"/>
      <c r="O8" s="19"/>
      <c r="P8" s="19"/>
    </row>
    <row r="9" spans="1:16" s="18" customFormat="1" x14ac:dyDescent="0.25">
      <c r="A9" s="20"/>
      <c r="B9" s="792" t="str">
        <f>Public!B9</f>
        <v>Des informations sur le produit et un glossaire de termes sont disponibles dans l'onglet Info.</v>
      </c>
      <c r="C9" s="792"/>
      <c r="D9" s="792"/>
      <c r="E9" s="792"/>
      <c r="F9" s="792"/>
      <c r="G9" s="792"/>
      <c r="H9" s="792"/>
      <c r="I9" s="792"/>
      <c r="J9" s="792"/>
      <c r="K9" s="792"/>
      <c r="L9" s="792"/>
      <c r="M9" s="17"/>
      <c r="N9" s="17"/>
      <c r="O9" s="19"/>
    </row>
    <row r="10" spans="1:16" s="18" customFormat="1" x14ac:dyDescent="0.25">
      <c r="A10" s="20"/>
      <c r="B10" s="792" t="str">
        <f>'Pro 1'!B10</f>
        <v xml:space="preserve">Utilisez l'onglet AddPro si vous avez besoin de plus d'espace.
</v>
      </c>
      <c r="C10" s="792"/>
      <c r="D10" s="792"/>
      <c r="E10" s="792"/>
      <c r="F10" s="792"/>
      <c r="G10" s="792"/>
      <c r="H10" s="792"/>
      <c r="I10" s="792"/>
      <c r="J10" s="792"/>
      <c r="K10" s="792"/>
      <c r="L10" s="792"/>
      <c r="M10" s="17"/>
      <c r="N10" s="17"/>
      <c r="O10" s="19"/>
      <c r="P10" s="19"/>
    </row>
    <row r="11" spans="1:16" s="18" customFormat="1" x14ac:dyDescent="0.25">
      <c r="A11" s="20"/>
      <c r="B11" s="191"/>
      <c r="C11" s="191"/>
      <c r="D11" s="191"/>
      <c r="E11" s="38"/>
      <c r="F11" s="38"/>
      <c r="G11" s="38"/>
      <c r="H11" s="38"/>
      <c r="I11" s="38"/>
      <c r="J11" s="38"/>
      <c r="K11" s="38"/>
      <c r="L11" s="38"/>
      <c r="M11" s="17"/>
      <c r="N11" s="17"/>
      <c r="O11" s="19"/>
      <c r="P11" s="19"/>
    </row>
    <row r="12" spans="1:16" s="18" customFormat="1" x14ac:dyDescent="0.25">
      <c r="A12" s="20"/>
      <c r="B12" s="792" t="str">
        <f>IF(Intro!$G$21="English",O12,P12)</f>
        <v>Pour les questions de cet onglet, notez ce qui suit :</v>
      </c>
      <c r="C12" s="792"/>
      <c r="D12" s="792"/>
      <c r="E12" s="792"/>
      <c r="F12" s="792"/>
      <c r="G12" s="792"/>
      <c r="H12" s="792"/>
      <c r="I12" s="792"/>
      <c r="J12" s="792"/>
      <c r="K12" s="792"/>
      <c r="L12" s="792"/>
      <c r="M12" s="17"/>
      <c r="N12" s="17"/>
      <c r="O12" s="19" t="s">
        <v>198</v>
      </c>
      <c r="P12" s="19" t="s">
        <v>199</v>
      </c>
    </row>
    <row r="13" spans="1:16" s="18" customFormat="1" x14ac:dyDescent="0.25">
      <c r="A13" s="20"/>
      <c r="B13" s="859" t="str">
        <f>IF(Intro!$G$21="English",O13,P13)</f>
        <v xml:space="preserve">• Indiquez seulement les ventes effectuées à partir de la production de votre entreprise au Canada. Les ventes de marchandises achetées auprès d’autres producteurs canadiens doivent être exclues. </v>
      </c>
      <c r="C13" s="859"/>
      <c r="D13" s="859"/>
      <c r="E13" s="859"/>
      <c r="F13" s="859"/>
      <c r="G13" s="859"/>
      <c r="H13" s="859"/>
      <c r="I13" s="859"/>
      <c r="J13" s="859"/>
      <c r="K13" s="859"/>
      <c r="L13" s="859"/>
      <c r="M13" s="17"/>
      <c r="N13" s="17"/>
      <c r="O13" s="19" t="s">
        <v>701</v>
      </c>
      <c r="P13" s="19" t="s">
        <v>702</v>
      </c>
    </row>
    <row r="14" spans="1:16" s="18" customFormat="1" x14ac:dyDescent="0.25">
      <c r="A14" s="20"/>
      <c r="B14" s="859"/>
      <c r="C14" s="859"/>
      <c r="D14" s="859"/>
      <c r="E14" s="859"/>
      <c r="F14" s="859"/>
      <c r="G14" s="859"/>
      <c r="H14" s="859"/>
      <c r="I14" s="859"/>
      <c r="J14" s="859"/>
      <c r="K14" s="859"/>
      <c r="L14" s="859"/>
      <c r="M14" s="17"/>
      <c r="N14" s="17"/>
      <c r="O14" s="19"/>
      <c r="P14" s="19"/>
    </row>
    <row r="15" spans="1:16" s="18" customFormat="1" x14ac:dyDescent="0.25">
      <c r="A15" s="20"/>
      <c r="B15" s="792" t="str">
        <f>IF(Intro!$G$21="English",O15,P15)</f>
        <v>• Déclarez toutes les ventes aux entreprises associées canadiennes et étrangères.</v>
      </c>
      <c r="C15" s="792"/>
      <c r="D15" s="792"/>
      <c r="E15" s="792"/>
      <c r="F15" s="792"/>
      <c r="G15" s="792"/>
      <c r="H15" s="792"/>
      <c r="I15" s="792"/>
      <c r="J15" s="792"/>
      <c r="K15" s="792"/>
      <c r="L15" s="792"/>
      <c r="M15" s="17"/>
      <c r="N15" s="17"/>
      <c r="O15" s="19" t="s">
        <v>616</v>
      </c>
      <c r="P15" s="19" t="s">
        <v>619</v>
      </c>
    </row>
    <row r="16" spans="1:16" s="18" customFormat="1" x14ac:dyDescent="0.25">
      <c r="A16" s="20"/>
      <c r="B16" s="792" t="str">
        <f>IF(Intro!$G$21="English",O16,P16)</f>
        <v>• Déclarez toutes les ventes à compter de la date de l’expédition au client ou à son entrepôt.</v>
      </c>
      <c r="C16" s="792"/>
      <c r="D16" s="792"/>
      <c r="E16" s="792"/>
      <c r="F16" s="792"/>
      <c r="G16" s="792"/>
      <c r="H16" s="792"/>
      <c r="I16" s="792"/>
      <c r="J16" s="792"/>
      <c r="K16" s="792"/>
      <c r="L16" s="792"/>
      <c r="M16" s="17"/>
      <c r="N16" s="17"/>
      <c r="O16" s="19" t="s">
        <v>617</v>
      </c>
      <c r="P16" s="19" t="s">
        <v>620</v>
      </c>
    </row>
    <row r="17" spans="1:16" s="18" customFormat="1" x14ac:dyDescent="0.25">
      <c r="A17" s="20"/>
      <c r="B17" s="792" t="str">
        <f>IF(Intro!$G$21="English",O17,P17)</f>
        <v>• Déclarez toutes les valeurs en dollars canadiens (CAD).</v>
      </c>
      <c r="C17" s="792"/>
      <c r="D17" s="792"/>
      <c r="E17" s="792"/>
      <c r="F17" s="792"/>
      <c r="G17" s="792"/>
      <c r="H17" s="792"/>
      <c r="I17" s="792"/>
      <c r="J17" s="792"/>
      <c r="K17" s="792"/>
      <c r="L17" s="792"/>
      <c r="M17" s="17"/>
      <c r="N17" s="17"/>
      <c r="O17" s="19" t="s">
        <v>618</v>
      </c>
      <c r="P17" s="19" t="s">
        <v>621</v>
      </c>
    </row>
    <row r="18" spans="1:16" s="10" customFormat="1" x14ac:dyDescent="0.25">
      <c r="A18" s="20"/>
      <c r="B18" s="29"/>
      <c r="C18" s="29"/>
      <c r="D18" s="29"/>
      <c r="E18" s="30"/>
      <c r="F18" s="30"/>
      <c r="G18" s="30"/>
      <c r="H18" s="30"/>
      <c r="I18" s="30"/>
      <c r="J18" s="30"/>
      <c r="K18" s="30"/>
      <c r="L18" s="30"/>
      <c r="O18" s="11"/>
      <c r="P18" s="11"/>
    </row>
    <row r="19" spans="1:16" x14ac:dyDescent="0.25">
      <c r="B19" s="35" t="str">
        <f>IF(Intro!$G$21="English",O19,P19)</f>
        <v>VENTES ET STOCKS</v>
      </c>
      <c r="C19" s="36"/>
      <c r="D19" s="36"/>
      <c r="E19" s="36"/>
      <c r="F19" s="36"/>
      <c r="G19" s="36"/>
      <c r="H19" s="36"/>
      <c r="I19" s="36"/>
      <c r="J19" s="36"/>
      <c r="K19" s="36"/>
      <c r="L19" s="37"/>
      <c r="M19" s="157"/>
      <c r="O19" s="257" t="s">
        <v>697</v>
      </c>
      <c r="P19" s="257" t="s">
        <v>698</v>
      </c>
    </row>
    <row r="20" spans="1:16" x14ac:dyDescent="0.25">
      <c r="B20" s="770" t="s">
        <v>20</v>
      </c>
      <c r="C20" s="771"/>
      <c r="D20" s="771"/>
      <c r="E20" s="771"/>
      <c r="F20" s="771"/>
      <c r="G20" s="771"/>
      <c r="H20" s="771"/>
      <c r="I20" s="771"/>
      <c r="J20" s="771"/>
      <c r="K20" s="771"/>
      <c r="L20" s="772"/>
      <c r="M20" s="2"/>
    </row>
    <row r="21" spans="1:16" s="12" customFormat="1" x14ac:dyDescent="0.25">
      <c r="A21" s="14"/>
      <c r="B21" s="31"/>
      <c r="C21" s="32"/>
      <c r="D21" s="32"/>
      <c r="E21" s="33"/>
      <c r="F21" s="33"/>
      <c r="G21" s="33"/>
      <c r="H21" s="33"/>
      <c r="I21" s="33"/>
      <c r="J21" s="33"/>
      <c r="K21" s="33"/>
      <c r="L21" s="34"/>
    </row>
    <row r="22" spans="1:16" s="12" customFormat="1" x14ac:dyDescent="0.25">
      <c r="A22" s="14"/>
      <c r="B22" s="672" t="str">
        <f>IF(Intro!$G$21="English",O22,P22)</f>
        <v>Remplir le tableau suivant pour les ventes et les stocks des marchandises par votre entreprise.</v>
      </c>
      <c r="C22" s="673"/>
      <c r="D22" s="673"/>
      <c r="E22" s="673"/>
      <c r="F22" s="673"/>
      <c r="G22" s="673"/>
      <c r="H22" s="673"/>
      <c r="I22" s="673"/>
      <c r="J22" s="673"/>
      <c r="K22" s="673"/>
      <c r="L22" s="674"/>
      <c r="O22" s="13" t="s">
        <v>197</v>
      </c>
      <c r="P22" s="12" t="s">
        <v>747</v>
      </c>
    </row>
    <row r="23" spans="1:16" s="12" customFormat="1" x14ac:dyDescent="0.25">
      <c r="A23" s="14"/>
      <c r="B23" s="186"/>
      <c r="C23" s="187"/>
      <c r="D23" s="32"/>
      <c r="E23" s="33"/>
      <c r="F23" s="33"/>
      <c r="G23" s="33"/>
      <c r="H23" s="33"/>
      <c r="I23" s="33"/>
      <c r="J23" s="33"/>
      <c r="K23" s="33"/>
      <c r="L23" s="34"/>
      <c r="O23" s="13"/>
    </row>
    <row r="24" spans="1:16" s="12" customFormat="1" x14ac:dyDescent="0.25">
      <c r="A24" s="14"/>
      <c r="B24" s="186"/>
      <c r="C24" s="187"/>
      <c r="D24" s="32"/>
      <c r="H24" s="831">
        <f>Variables!$B$6</f>
        <v>2022</v>
      </c>
      <c r="I24" s="831">
        <f>H24+1</f>
        <v>2023</v>
      </c>
      <c r="J24" s="831">
        <f>I24+1</f>
        <v>2024</v>
      </c>
      <c r="K24" s="831" t="str">
        <f>IF(Intro!$G$21="English",Variables!B9,Variables!C9)</f>
        <v>janv-sept 2024</v>
      </c>
      <c r="L24" s="846" t="str">
        <f>IF(Intro!$G$21="English",Variables!B10,Variables!C10)</f>
        <v>janv-sept 2025</v>
      </c>
      <c r="O24" s="13"/>
    </row>
    <row r="25" spans="1:16" s="12" customFormat="1" x14ac:dyDescent="0.25">
      <c r="A25" s="14"/>
      <c r="B25" s="261"/>
      <c r="C25" s="262"/>
      <c r="D25" s="32"/>
      <c r="H25" s="831"/>
      <c r="I25" s="831"/>
      <c r="J25" s="831"/>
      <c r="K25" s="831"/>
      <c r="L25" s="846"/>
      <c r="O25" s="13"/>
    </row>
    <row r="26" spans="1:16" s="157" customFormat="1" x14ac:dyDescent="0.25">
      <c r="A26" s="200"/>
      <c r="B26" s="860" t="str">
        <f>IF(Intro!$G$21="English",O26,P26)</f>
        <v>Stock d'ouverture</v>
      </c>
      <c r="C26" s="861"/>
      <c r="D26" s="861"/>
      <c r="E26" s="853" t="str">
        <f>IF(Intro!$G$21="English",Variables!$B$23,Variables!$C$23)</f>
        <v>pièces</v>
      </c>
      <c r="F26" s="853"/>
      <c r="G26" s="853"/>
      <c r="H26" s="279"/>
      <c r="I26" s="280">
        <f t="shared" ref="I26:J26" si="0">H44</f>
        <v>0</v>
      </c>
      <c r="J26" s="280">
        <f t="shared" si="0"/>
        <v>0</v>
      </c>
      <c r="K26" s="280">
        <f>I44</f>
        <v>0</v>
      </c>
      <c r="L26" s="281">
        <f>J44</f>
        <v>0</v>
      </c>
      <c r="O26" s="157" t="s">
        <v>167</v>
      </c>
      <c r="P26" s="157" t="s">
        <v>75</v>
      </c>
    </row>
    <row r="27" spans="1:16" s="157" customFormat="1" x14ac:dyDescent="0.25">
      <c r="A27" s="200"/>
      <c r="B27" s="860"/>
      <c r="C27" s="861"/>
      <c r="D27" s="861"/>
      <c r="E27" s="853" t="s">
        <v>594</v>
      </c>
      <c r="F27" s="853"/>
      <c r="G27" s="853"/>
      <c r="H27" s="279"/>
      <c r="I27" s="280">
        <f t="shared" ref="I27:J27" si="1">H45</f>
        <v>0</v>
      </c>
      <c r="J27" s="280">
        <f t="shared" si="1"/>
        <v>0</v>
      </c>
      <c r="K27" s="280">
        <f>I45</f>
        <v>0</v>
      </c>
      <c r="L27" s="281">
        <f>J45</f>
        <v>0</v>
      </c>
    </row>
    <row r="28" spans="1:16" s="157" customFormat="1" ht="15" thickBot="1" x14ac:dyDescent="0.3">
      <c r="A28" s="200"/>
      <c r="B28" s="862"/>
      <c r="C28" s="863"/>
      <c r="D28" s="863"/>
      <c r="E28" s="856" t="str">
        <f>"$ / "&amp;IF(Intro!$G$21="English",Variables!$B$24,Variables!$C$24)</f>
        <v>$ / pièce</v>
      </c>
      <c r="F28" s="856"/>
      <c r="G28" s="856"/>
      <c r="H28" s="327" t="str">
        <f t="shared" ref="H28:J28" si="2">IF(H26=0,"-",H27/H26)</f>
        <v>-</v>
      </c>
      <c r="I28" s="327" t="str">
        <f t="shared" si="2"/>
        <v>-</v>
      </c>
      <c r="J28" s="327" t="str">
        <f t="shared" si="2"/>
        <v>-</v>
      </c>
      <c r="K28" s="327" t="str">
        <f t="shared" ref="K28:L28" si="3">IF(K26=0,"-",K27/K26)</f>
        <v>-</v>
      </c>
      <c r="L28" s="328" t="str">
        <f t="shared" si="3"/>
        <v>-</v>
      </c>
    </row>
    <row r="29" spans="1:16" s="157" customFormat="1" x14ac:dyDescent="0.25">
      <c r="A29" s="200"/>
      <c r="B29" s="864" t="str">
        <f>IF(Intro!$G$21="English",O29,P29)</f>
        <v>Ventes aux distributeurs au Canada</v>
      </c>
      <c r="C29" s="865"/>
      <c r="D29" s="865"/>
      <c r="E29" s="857" t="str">
        <f>IF(Intro!$G$21="English",Variables!$B$23,Variables!$C$23)</f>
        <v>pièces</v>
      </c>
      <c r="F29" s="857"/>
      <c r="G29" s="857"/>
      <c r="H29" s="285"/>
      <c r="I29" s="285"/>
      <c r="J29" s="285"/>
      <c r="K29" s="285"/>
      <c r="L29" s="286"/>
      <c r="O29" s="157" t="str">
        <f>"Sales to "&amp;Variables!$B$26&amp;" in Canada"</f>
        <v>Sales to distributors in Canada</v>
      </c>
      <c r="P29" s="157" t="str">
        <f>"Ventes aux "&amp;Variables!$C$26&amp;" au Canada"</f>
        <v>Ventes aux distributeurs au Canada</v>
      </c>
    </row>
    <row r="30" spans="1:16" s="157" customFormat="1" x14ac:dyDescent="0.25">
      <c r="A30" s="200"/>
      <c r="B30" s="860"/>
      <c r="C30" s="866"/>
      <c r="D30" s="866"/>
      <c r="E30" s="854" t="str">
        <f>IF(Intro!G$21="English","net delivered selling value (CAD)","valeur de vente nette rendue (CAD)")</f>
        <v>valeur de vente nette rendue (CAD)</v>
      </c>
      <c r="F30" s="854"/>
      <c r="G30" s="854"/>
      <c r="H30" s="279"/>
      <c r="I30" s="279"/>
      <c r="J30" s="279"/>
      <c r="K30" s="279"/>
      <c r="L30" s="282"/>
    </row>
    <row r="31" spans="1:16" s="157" customFormat="1" ht="15" thickBot="1" x14ac:dyDescent="0.3">
      <c r="A31" s="200"/>
      <c r="B31" s="862"/>
      <c r="C31" s="867"/>
      <c r="D31" s="867"/>
      <c r="E31" s="856" t="str">
        <f>"$ / "&amp;IF(Intro!$G$21="English",Variables!$B$24,Variables!$C$24)</f>
        <v>$ / pièce</v>
      </c>
      <c r="F31" s="856"/>
      <c r="G31" s="856"/>
      <c r="H31" s="327" t="str">
        <f t="shared" ref="H31:J31" si="4">IF(H29=0,"-",H30/H29)</f>
        <v>-</v>
      </c>
      <c r="I31" s="327" t="str">
        <f t="shared" si="4"/>
        <v>-</v>
      </c>
      <c r="J31" s="327" t="str">
        <f t="shared" si="4"/>
        <v>-</v>
      </c>
      <c r="K31" s="327" t="str">
        <f t="shared" ref="K31:L31" si="5">IF(K29=0,"-",K30/K29)</f>
        <v>-</v>
      </c>
      <c r="L31" s="328" t="str">
        <f t="shared" si="5"/>
        <v>-</v>
      </c>
    </row>
    <row r="32" spans="1:16" s="157" customFormat="1" x14ac:dyDescent="0.25">
      <c r="A32" s="200"/>
      <c r="B32" s="864" t="str">
        <f>IF(Intro!$G$21="English",O35,P35)</f>
        <v>Ventes aux utilisateurs finals au Canada</v>
      </c>
      <c r="C32" s="865"/>
      <c r="D32" s="865"/>
      <c r="E32" s="857" t="str">
        <f>IF(Intro!$G$21="English",Variables!$B$23,Variables!$C$23)</f>
        <v>pièces</v>
      </c>
      <c r="F32" s="857"/>
      <c r="G32" s="857"/>
      <c r="H32" s="285"/>
      <c r="I32" s="285"/>
      <c r="J32" s="285"/>
      <c r="K32" s="285"/>
      <c r="L32" s="286"/>
      <c r="O32" s="157" t="str">
        <f>"Sales to "&amp;Variables!$B$27&amp;" in Canada"</f>
        <v>Sales to retailers in Canada</v>
      </c>
      <c r="P32" s="157" t="str">
        <f>"Ventes aux "&amp;Variables!$C$27&amp;" au Canada"</f>
        <v>Ventes aux détaillants au Canada</v>
      </c>
    </row>
    <row r="33" spans="1:16" s="157" customFormat="1" x14ac:dyDescent="0.25">
      <c r="A33" s="200"/>
      <c r="B33" s="860"/>
      <c r="C33" s="866"/>
      <c r="D33" s="866"/>
      <c r="E33" s="854" t="str">
        <f>IF(Intro!G$21="English","net delivered selling value (CAD)","valeur de vente nette rendue (CAD)")</f>
        <v>valeur de vente nette rendue (CAD)</v>
      </c>
      <c r="F33" s="854"/>
      <c r="G33" s="854"/>
      <c r="H33" s="279"/>
      <c r="I33" s="279"/>
      <c r="J33" s="279"/>
      <c r="K33" s="279"/>
      <c r="L33" s="282"/>
    </row>
    <row r="34" spans="1:16" s="157" customFormat="1" ht="15" thickBot="1" x14ac:dyDescent="0.3">
      <c r="A34" s="200"/>
      <c r="B34" s="862"/>
      <c r="C34" s="867"/>
      <c r="D34" s="867"/>
      <c r="E34" s="856" t="str">
        <f>"$ / "&amp;IF(Intro!$G$21="English",Variables!$B$24,Variables!$C$24)</f>
        <v>$ / pièce</v>
      </c>
      <c r="F34" s="856"/>
      <c r="G34" s="856"/>
      <c r="H34" s="327" t="str">
        <f t="shared" ref="H34:L34" si="6">IF(H32=0,"-",H33/H32)</f>
        <v>-</v>
      </c>
      <c r="I34" s="327" t="str">
        <f t="shared" si="6"/>
        <v>-</v>
      </c>
      <c r="J34" s="327" t="str">
        <f t="shared" si="6"/>
        <v>-</v>
      </c>
      <c r="K34" s="327" t="str">
        <f t="shared" si="6"/>
        <v>-</v>
      </c>
      <c r="L34" s="328" t="str">
        <f t="shared" si="6"/>
        <v>-</v>
      </c>
    </row>
    <row r="35" spans="1:16" s="157" customFormat="1" x14ac:dyDescent="0.25">
      <c r="A35" s="200"/>
      <c r="B35" s="864" t="str">
        <f>IF(Intro!$G$21="English",O32,P32)</f>
        <v>Ventes aux détaillants au Canada</v>
      </c>
      <c r="C35" s="865"/>
      <c r="D35" s="865"/>
      <c r="E35" s="857" t="str">
        <f>IF(Intro!$G$21="English",Variables!$B$23,Variables!$C$23)</f>
        <v>pièces</v>
      </c>
      <c r="F35" s="857"/>
      <c r="G35" s="857"/>
      <c r="H35" s="285"/>
      <c r="I35" s="285"/>
      <c r="J35" s="285"/>
      <c r="K35" s="285"/>
      <c r="L35" s="286"/>
      <c r="O35" s="157" t="str">
        <f>"Sales to "&amp;Variables!$B$28&amp;" in Canada"</f>
        <v>Sales to end users in Canada</v>
      </c>
      <c r="P35" s="157" t="str">
        <f>"Ventes aux "&amp;Variables!$C$28&amp;" au Canada"</f>
        <v>Ventes aux utilisateurs finals au Canada</v>
      </c>
    </row>
    <row r="36" spans="1:16" s="157" customFormat="1" x14ac:dyDescent="0.25">
      <c r="A36" s="200"/>
      <c r="B36" s="860"/>
      <c r="C36" s="866"/>
      <c r="D36" s="866"/>
      <c r="E36" s="854" t="str">
        <f>IF(Intro!G$21="English","net delivered selling value (CAD)","valeur de vente nette rendue (CAD)")</f>
        <v>valeur de vente nette rendue (CAD)</v>
      </c>
      <c r="F36" s="854"/>
      <c r="G36" s="854"/>
      <c r="H36" s="279"/>
      <c r="I36" s="279"/>
      <c r="J36" s="279"/>
      <c r="K36" s="279"/>
      <c r="L36" s="282"/>
    </row>
    <row r="37" spans="1:16" s="157" customFormat="1" ht="15" thickBot="1" x14ac:dyDescent="0.3">
      <c r="A37" s="200"/>
      <c r="B37" s="862"/>
      <c r="C37" s="867"/>
      <c r="D37" s="867"/>
      <c r="E37" s="856" t="str">
        <f>"$ / "&amp;IF(Intro!$G$21="English",Variables!$B$24,Variables!$C$24)</f>
        <v>$ / pièce</v>
      </c>
      <c r="F37" s="856"/>
      <c r="G37" s="856"/>
      <c r="H37" s="327" t="str">
        <f t="shared" ref="H37:J37" si="7">IF(H35=0,"-",H36/H35)</f>
        <v>-</v>
      </c>
      <c r="I37" s="327" t="str">
        <f t="shared" si="7"/>
        <v>-</v>
      </c>
      <c r="J37" s="327" t="str">
        <f t="shared" si="7"/>
        <v>-</v>
      </c>
      <c r="K37" s="327" t="str">
        <f t="shared" ref="K37:L37" si="8">IF(K35=0,"-",K36/K35)</f>
        <v>-</v>
      </c>
      <c r="L37" s="328" t="str">
        <f t="shared" si="8"/>
        <v>-</v>
      </c>
    </row>
    <row r="38" spans="1:16" s="157" customFormat="1" x14ac:dyDescent="0.25">
      <c r="A38" s="200"/>
      <c r="B38" s="868" t="str">
        <f>IF(Intro!$G$21="English",O38,P38)</f>
        <v>Ventes totales au Canada</v>
      </c>
      <c r="C38" s="869"/>
      <c r="D38" s="869"/>
      <c r="E38" s="858" t="str">
        <f>IF(Intro!$G$21="English",Variables!$B$23,Variables!$C$23)</f>
        <v>pièces</v>
      </c>
      <c r="F38" s="858"/>
      <c r="G38" s="858"/>
      <c r="H38" s="638">
        <f>H29+H32+H35</f>
        <v>0</v>
      </c>
      <c r="I38" s="638">
        <f t="shared" ref="I38:L38" si="9">I29+I32+I35</f>
        <v>0</v>
      </c>
      <c r="J38" s="638">
        <f t="shared" si="9"/>
        <v>0</v>
      </c>
      <c r="K38" s="638">
        <f t="shared" si="9"/>
        <v>0</v>
      </c>
      <c r="L38" s="638">
        <f t="shared" si="9"/>
        <v>0</v>
      </c>
      <c r="O38" s="157" t="s">
        <v>941</v>
      </c>
      <c r="P38" s="157" t="s">
        <v>942</v>
      </c>
    </row>
    <row r="39" spans="1:16" s="157" customFormat="1" x14ac:dyDescent="0.25">
      <c r="A39" s="200"/>
      <c r="B39" s="860"/>
      <c r="C39" s="866"/>
      <c r="D39" s="866"/>
      <c r="E39" s="854" t="str">
        <f>IF(Intro!G$21="English","net delivered selling value (CAD)","valeur de vente nette rendue (CAD)")</f>
        <v>valeur de vente nette rendue (CAD)</v>
      </c>
      <c r="F39" s="854"/>
      <c r="G39" s="854"/>
      <c r="H39" s="280">
        <f>H30+H33+H36</f>
        <v>0</v>
      </c>
      <c r="I39" s="280">
        <f t="shared" ref="I39:L39" si="10">I30+I33+I36</f>
        <v>0</v>
      </c>
      <c r="J39" s="280">
        <f t="shared" si="10"/>
        <v>0</v>
      </c>
      <c r="K39" s="280">
        <f t="shared" si="10"/>
        <v>0</v>
      </c>
      <c r="L39" s="280">
        <f t="shared" si="10"/>
        <v>0</v>
      </c>
    </row>
    <row r="40" spans="1:16" s="157" customFormat="1" ht="15" thickBot="1" x14ac:dyDescent="0.3">
      <c r="A40" s="200"/>
      <c r="B40" s="862"/>
      <c r="C40" s="867"/>
      <c r="D40" s="867"/>
      <c r="E40" s="856" t="str">
        <f>"$ / "&amp;IF(Intro!$G$21="English",Variables!$B$24,Variables!$C$24)</f>
        <v>$ / pièce</v>
      </c>
      <c r="F40" s="856"/>
      <c r="G40" s="856"/>
      <c r="H40" s="327" t="str">
        <f t="shared" ref="H40:L40" si="11">IF(H38=0,"-",H39/H38)</f>
        <v>-</v>
      </c>
      <c r="I40" s="327" t="str">
        <f t="shared" si="11"/>
        <v>-</v>
      </c>
      <c r="J40" s="327" t="str">
        <f t="shared" si="11"/>
        <v>-</v>
      </c>
      <c r="K40" s="327" t="str">
        <f t="shared" si="11"/>
        <v>-</v>
      </c>
      <c r="L40" s="328" t="str">
        <f t="shared" si="11"/>
        <v>-</v>
      </c>
    </row>
    <row r="41" spans="1:16" s="157" customFormat="1" x14ac:dyDescent="0.25">
      <c r="A41" s="200"/>
      <c r="B41" s="868" t="str">
        <f>IF(Intro!$G$21="English",O41,P41)</f>
        <v>Ventes à l'exportation</v>
      </c>
      <c r="C41" s="869"/>
      <c r="D41" s="869"/>
      <c r="E41" s="858" t="str">
        <f>IF(Intro!$G$21="English",Variables!$B$23,Variables!$C$23)</f>
        <v>pièces</v>
      </c>
      <c r="F41" s="858"/>
      <c r="G41" s="858"/>
      <c r="H41" s="283"/>
      <c r="I41" s="283"/>
      <c r="J41" s="283"/>
      <c r="K41" s="283"/>
      <c r="L41" s="284"/>
      <c r="O41" s="157" t="s">
        <v>600</v>
      </c>
      <c r="P41" s="157" t="s">
        <v>42</v>
      </c>
    </row>
    <row r="42" spans="1:16" s="157" customFormat="1" x14ac:dyDescent="0.25">
      <c r="A42" s="200"/>
      <c r="B42" s="860"/>
      <c r="C42" s="866"/>
      <c r="D42" s="866"/>
      <c r="E42" s="854" t="str">
        <f>IF(Intro!G$21="English","net delivered selling value (CAD)","valeur de vente nette rendue (CAD)")</f>
        <v>valeur de vente nette rendue (CAD)</v>
      </c>
      <c r="F42" s="854"/>
      <c r="G42" s="854"/>
      <c r="H42" s="279"/>
      <c r="I42" s="279"/>
      <c r="J42" s="279"/>
      <c r="K42" s="279"/>
      <c r="L42" s="282"/>
    </row>
    <row r="43" spans="1:16" s="157" customFormat="1" ht="15" thickBot="1" x14ac:dyDescent="0.3">
      <c r="A43" s="200"/>
      <c r="B43" s="862"/>
      <c r="C43" s="867"/>
      <c r="D43" s="867"/>
      <c r="E43" s="856" t="str">
        <f>"$ / "&amp;IF(Intro!$G$21="English",Variables!$B$24,Variables!$C$24)</f>
        <v>$ / pièce</v>
      </c>
      <c r="F43" s="856"/>
      <c r="G43" s="856"/>
      <c r="H43" s="327" t="str">
        <f t="shared" ref="H43:J43" si="12">IF(H41=0,"-",H42/H41)</f>
        <v>-</v>
      </c>
      <c r="I43" s="327" t="str">
        <f t="shared" si="12"/>
        <v>-</v>
      </c>
      <c r="J43" s="327" t="str">
        <f t="shared" si="12"/>
        <v>-</v>
      </c>
      <c r="K43" s="327" t="str">
        <f t="shared" ref="K43:L43" si="13">IF(K41=0,"-",K42/K41)</f>
        <v>-</v>
      </c>
      <c r="L43" s="328" t="str">
        <f t="shared" si="13"/>
        <v>-</v>
      </c>
    </row>
    <row r="44" spans="1:16" s="157" customFormat="1" x14ac:dyDescent="0.25">
      <c r="A44" s="200"/>
      <c r="B44" s="868" t="str">
        <f>IF(Intro!$G$21="English",O44,P44)</f>
        <v>Stock de clôture - ne pas inclure la production utilisée à l'interne ou destinée à la transformation ultérieure à l’interne</v>
      </c>
      <c r="C44" s="869"/>
      <c r="D44" s="869"/>
      <c r="E44" s="858" t="str">
        <f>IF(Intro!$G$21="English",Variables!$B$23,Variables!$C$23)</f>
        <v>pièces</v>
      </c>
      <c r="F44" s="858"/>
      <c r="G44" s="858"/>
      <c r="H44" s="283"/>
      <c r="I44" s="283"/>
      <c r="J44" s="283"/>
      <c r="K44" s="283"/>
      <c r="L44" s="284"/>
      <c r="O44" s="156" t="s">
        <v>939</v>
      </c>
      <c r="P44" s="156" t="s">
        <v>940</v>
      </c>
    </row>
    <row r="45" spans="1:16" s="157" customFormat="1" x14ac:dyDescent="0.25">
      <c r="A45" s="200"/>
      <c r="B45" s="860"/>
      <c r="C45" s="866"/>
      <c r="D45" s="866"/>
      <c r="E45" s="853" t="s">
        <v>594</v>
      </c>
      <c r="F45" s="853"/>
      <c r="G45" s="853"/>
      <c r="H45" s="279"/>
      <c r="I45" s="279"/>
      <c r="J45" s="279"/>
      <c r="K45" s="279"/>
      <c r="L45" s="282"/>
    </row>
    <row r="46" spans="1:16" s="157" customFormat="1" ht="15" thickBot="1" x14ac:dyDescent="0.3">
      <c r="A46" s="200"/>
      <c r="B46" s="860"/>
      <c r="C46" s="866"/>
      <c r="D46" s="866"/>
      <c r="E46" s="853" t="str">
        <f>"$ / "&amp;IF(Intro!$G$21="English",Variables!$B$24,Variables!$C$24)</f>
        <v>$ / pièce</v>
      </c>
      <c r="F46" s="853"/>
      <c r="G46" s="853"/>
      <c r="H46" s="327" t="str">
        <f t="shared" ref="H46:J46" si="14">IF(H44=0,"-",H45/H44)</f>
        <v>-</v>
      </c>
      <c r="I46" s="327" t="str">
        <f t="shared" si="14"/>
        <v>-</v>
      </c>
      <c r="J46" s="327" t="str">
        <f t="shared" si="14"/>
        <v>-</v>
      </c>
      <c r="K46" s="327" t="str">
        <f t="shared" ref="K46:L46" si="15">IF(K44=0,"-",K45/K44)</f>
        <v>-</v>
      </c>
      <c r="L46" s="328" t="str">
        <f t="shared" si="15"/>
        <v>-</v>
      </c>
    </row>
    <row r="47" spans="1:16" s="157" customFormat="1" x14ac:dyDescent="0.25">
      <c r="A47" s="200"/>
      <c r="B47" s="207"/>
      <c r="C47" s="208"/>
      <c r="D47" s="208"/>
      <c r="E47" s="208"/>
      <c r="F47" s="208"/>
      <c r="G47" s="208"/>
      <c r="H47" s="208"/>
      <c r="I47" s="208"/>
      <c r="J47" s="208"/>
      <c r="K47" s="208"/>
      <c r="L47" s="209"/>
    </row>
    <row r="48" spans="1:16" s="3" customFormat="1" x14ac:dyDescent="0.25">
      <c r="A48" s="14"/>
      <c r="B48" s="767" t="s">
        <v>21</v>
      </c>
      <c r="C48" s="768"/>
      <c r="D48" s="768"/>
      <c r="E48" s="768"/>
      <c r="F48" s="768"/>
      <c r="G48" s="768"/>
      <c r="H48" s="768"/>
      <c r="I48" s="768"/>
      <c r="J48" s="768"/>
      <c r="K48" s="768"/>
      <c r="L48" s="769"/>
      <c r="M48" s="216"/>
      <c r="O48" s="157"/>
    </row>
    <row r="49" spans="1:16" s="157" customFormat="1" x14ac:dyDescent="0.25">
      <c r="A49" s="200"/>
      <c r="B49" s="201"/>
      <c r="C49" s="202"/>
      <c r="D49" s="202"/>
      <c r="E49" s="202"/>
      <c r="F49" s="202"/>
      <c r="G49" s="202"/>
      <c r="H49" s="202"/>
      <c r="I49" s="202"/>
      <c r="J49" s="202"/>
      <c r="K49" s="202"/>
      <c r="L49" s="203"/>
    </row>
    <row r="50" spans="1:16" s="157" customFormat="1" x14ac:dyDescent="0.25">
      <c r="A50" s="200"/>
      <c r="B50" s="694" t="str">
        <f>IF(Intro!$G$21="English",O50,P50)</f>
        <v>En utilisant les données fournies à la question 1 sur l'onglet Pro 1 avec les données fournies à la question 1 sur l'onglet Pro 2, le questionnaire calcule le stock de clôture comme suit :</v>
      </c>
      <c r="C50" s="695"/>
      <c r="D50" s="695"/>
      <c r="E50" s="695"/>
      <c r="F50" s="695"/>
      <c r="G50" s="695"/>
      <c r="H50" s="695"/>
      <c r="I50" s="695"/>
      <c r="J50" s="695"/>
      <c r="K50" s="695"/>
      <c r="L50" s="696"/>
      <c r="O50" s="157" t="s">
        <v>373</v>
      </c>
      <c r="P50" s="157" t="s">
        <v>628</v>
      </c>
    </row>
    <row r="51" spans="1:16" s="157" customFormat="1" x14ac:dyDescent="0.25">
      <c r="A51" s="200"/>
      <c r="B51" s="694"/>
      <c r="C51" s="695"/>
      <c r="D51" s="695"/>
      <c r="E51" s="695"/>
      <c r="F51" s="695"/>
      <c r="G51" s="695"/>
      <c r="H51" s="695"/>
      <c r="I51" s="695"/>
      <c r="J51" s="695"/>
      <c r="K51" s="695"/>
      <c r="L51" s="696"/>
    </row>
    <row r="52" spans="1:16" s="157" customFormat="1" x14ac:dyDescent="0.25">
      <c r="A52" s="200"/>
      <c r="B52" s="201"/>
      <c r="C52" s="202"/>
      <c r="D52" s="202"/>
      <c r="E52" s="202"/>
      <c r="F52" s="202"/>
      <c r="G52" s="202"/>
      <c r="H52" s="202"/>
      <c r="I52" s="202"/>
      <c r="J52" s="202"/>
      <c r="K52" s="202"/>
      <c r="L52" s="203"/>
    </row>
    <row r="53" spans="1:16" s="12" customFormat="1" x14ac:dyDescent="0.25">
      <c r="A53" s="14"/>
      <c r="B53" s="186"/>
      <c r="C53" s="187"/>
      <c r="D53" s="32"/>
      <c r="H53" s="851">
        <f>Variables!$B$6</f>
        <v>2022</v>
      </c>
      <c r="I53" s="851">
        <f>H53+1</f>
        <v>2023</v>
      </c>
      <c r="J53" s="851">
        <f>I53+1</f>
        <v>2024</v>
      </c>
      <c r="K53" s="851" t="str">
        <f>K24</f>
        <v>janv-sept 2024</v>
      </c>
      <c r="L53" s="872" t="str">
        <f>L24</f>
        <v>janv-sept 2025</v>
      </c>
      <c r="O53" s="13"/>
    </row>
    <row r="54" spans="1:16" s="12" customFormat="1" x14ac:dyDescent="0.25">
      <c r="A54" s="14"/>
      <c r="B54" s="261"/>
      <c r="C54" s="262"/>
      <c r="D54" s="32"/>
      <c r="H54" s="852"/>
      <c r="I54" s="852"/>
      <c r="J54" s="852"/>
      <c r="K54" s="852"/>
      <c r="L54" s="873"/>
      <c r="O54" s="13"/>
    </row>
    <row r="55" spans="1:16" s="157" customFormat="1" x14ac:dyDescent="0.25">
      <c r="A55" s="200"/>
      <c r="B55" s="650" t="str">
        <f>IF(Intro!$G$21="English",O55,P55)</f>
        <v>Stock de clôture</v>
      </c>
      <c r="C55" s="651"/>
      <c r="D55" s="651"/>
      <c r="E55" s="651"/>
      <c r="F55" s="651"/>
      <c r="G55" s="270" t="str">
        <f>IF(Intro!$G$21="English",Variables!$B$23,Variables!$C$23)</f>
        <v>pièces</v>
      </c>
      <c r="H55" s="641">
        <f>H26+'Pro 1'!G25-'Pro 1'!G23-H38-H41</f>
        <v>0</v>
      </c>
      <c r="I55" s="641">
        <f>I26+'Pro 1'!H25-'Pro 1'!H23-I38-I41</f>
        <v>0</v>
      </c>
      <c r="J55" s="641">
        <f>J26+'Pro 1'!I25-'Pro 1'!I23-J38-J41</f>
        <v>0</v>
      </c>
      <c r="K55" s="641">
        <f>K26+'Pro 1'!J25-'Pro 1'!J23-K38-K41</f>
        <v>0</v>
      </c>
      <c r="L55" s="642">
        <f>L26+'Pro 1'!K25-'Pro 1'!K23-L38-L41</f>
        <v>0</v>
      </c>
      <c r="O55" s="157" t="s">
        <v>168</v>
      </c>
      <c r="P55" s="157" t="s">
        <v>629</v>
      </c>
    </row>
    <row r="56" spans="1:16" s="157" customFormat="1" x14ac:dyDescent="0.25">
      <c r="A56" s="200"/>
      <c r="B56" s="682" t="str">
        <f>IF(Intro!$G$21="English",O56,P56)</f>
        <v>Différence entre le stock de clôture à la question 1 sur l'onglet Pro 2 et le stock de clôture calculé</v>
      </c>
      <c r="C56" s="683"/>
      <c r="D56" s="683"/>
      <c r="E56" s="683"/>
      <c r="F56" s="683"/>
      <c r="G56" s="847" t="str">
        <f>IF(Intro!$G$21="English",Variables!$B$23,Variables!$C$23)</f>
        <v>pièces</v>
      </c>
      <c r="H56" s="849">
        <f>H44-H55</f>
        <v>0</v>
      </c>
      <c r="I56" s="849">
        <f>I44-I55</f>
        <v>0</v>
      </c>
      <c r="J56" s="849">
        <f>J44-J55</f>
        <v>0</v>
      </c>
      <c r="K56" s="849">
        <f>K44-K55</f>
        <v>0</v>
      </c>
      <c r="L56" s="874">
        <f>L44-L55</f>
        <v>0</v>
      </c>
      <c r="O56" s="157" t="s">
        <v>374</v>
      </c>
      <c r="P56" s="157" t="s">
        <v>630</v>
      </c>
    </row>
    <row r="57" spans="1:16" s="157" customFormat="1" x14ac:dyDescent="0.25">
      <c r="A57" s="200"/>
      <c r="B57" s="686"/>
      <c r="C57" s="687"/>
      <c r="D57" s="687"/>
      <c r="E57" s="687"/>
      <c r="F57" s="687"/>
      <c r="G57" s="848"/>
      <c r="H57" s="850"/>
      <c r="I57" s="850"/>
      <c r="J57" s="850"/>
      <c r="K57" s="850"/>
      <c r="L57" s="875"/>
    </row>
    <row r="58" spans="1:16" s="157" customFormat="1" x14ac:dyDescent="0.25">
      <c r="A58" s="200"/>
      <c r="B58" s="201"/>
      <c r="C58" s="202"/>
      <c r="D58" s="202"/>
      <c r="E58" s="202"/>
      <c r="F58" s="202"/>
      <c r="G58" s="202"/>
      <c r="H58" s="202"/>
      <c r="I58" s="202"/>
      <c r="J58" s="202"/>
      <c r="K58" s="202"/>
      <c r="L58" s="203"/>
    </row>
    <row r="59" spans="1:16" s="157" customFormat="1" x14ac:dyDescent="0.25">
      <c r="A59" s="200"/>
      <c r="B59" s="778" t="str">
        <f>IF(Intro!$G$21="English",O59,P59)</f>
        <v>Si le volume du stock de clôtures à la question 1 sur l'onglet Pro 2 diffère du stock de clôture calculé, expliquez pourquoi il y a une différence.</v>
      </c>
      <c r="C59" s="779"/>
      <c r="D59" s="779"/>
      <c r="E59" s="779"/>
      <c r="F59" s="779"/>
      <c r="G59" s="779"/>
      <c r="H59" s="779"/>
      <c r="I59" s="779"/>
      <c r="J59" s="779"/>
      <c r="K59" s="779"/>
      <c r="L59" s="780"/>
      <c r="O59" s="22" t="s">
        <v>375</v>
      </c>
      <c r="P59" s="157" t="s">
        <v>637</v>
      </c>
    </row>
    <row r="60" spans="1:16" s="157" customFormat="1" x14ac:dyDescent="0.25">
      <c r="A60" s="200"/>
      <c r="B60" s="201"/>
      <c r="C60" s="202"/>
      <c r="D60" s="202"/>
      <c r="E60" s="202"/>
      <c r="F60" s="202"/>
      <c r="G60" s="202"/>
      <c r="H60" s="202"/>
      <c r="I60" s="202"/>
      <c r="J60" s="202"/>
      <c r="K60" s="202"/>
      <c r="L60" s="203"/>
    </row>
    <row r="61" spans="1:16" s="3" customFormat="1" x14ac:dyDescent="0.25">
      <c r="A61" s="15"/>
      <c r="B61" s="773"/>
      <c r="C61" s="774"/>
      <c r="D61" s="774"/>
      <c r="E61" s="774"/>
      <c r="F61" s="774"/>
      <c r="G61" s="774"/>
      <c r="H61" s="774"/>
      <c r="I61" s="774"/>
      <c r="J61" s="774"/>
      <c r="K61" s="774"/>
      <c r="L61" s="775"/>
      <c r="M61" s="182"/>
      <c r="O61" s="176"/>
      <c r="P61" s="176"/>
    </row>
    <row r="62" spans="1:16" s="3" customFormat="1" x14ac:dyDescent="0.25">
      <c r="A62" s="15"/>
      <c r="B62" s="773"/>
      <c r="C62" s="774"/>
      <c r="D62" s="774"/>
      <c r="E62" s="774"/>
      <c r="F62" s="774"/>
      <c r="G62" s="774"/>
      <c r="H62" s="774"/>
      <c r="I62" s="774"/>
      <c r="J62" s="774"/>
      <c r="K62" s="774"/>
      <c r="L62" s="775"/>
      <c r="M62" s="182"/>
      <c r="O62" s="176"/>
      <c r="P62" s="176"/>
    </row>
    <row r="63" spans="1:16" s="3" customFormat="1" x14ac:dyDescent="0.25">
      <c r="A63" s="15"/>
      <c r="B63" s="773"/>
      <c r="C63" s="774"/>
      <c r="D63" s="774"/>
      <c r="E63" s="774"/>
      <c r="F63" s="774"/>
      <c r="G63" s="774"/>
      <c r="H63" s="774"/>
      <c r="I63" s="774"/>
      <c r="J63" s="774"/>
      <c r="K63" s="774"/>
      <c r="L63" s="775"/>
      <c r="M63" s="182"/>
      <c r="O63" s="176"/>
      <c r="P63" s="176"/>
    </row>
    <row r="64" spans="1:16" s="3" customFormat="1" x14ac:dyDescent="0.25">
      <c r="A64" s="15"/>
      <c r="B64" s="773"/>
      <c r="C64" s="774"/>
      <c r="D64" s="774"/>
      <c r="E64" s="774"/>
      <c r="F64" s="774"/>
      <c r="G64" s="774"/>
      <c r="H64" s="774"/>
      <c r="I64" s="774"/>
      <c r="J64" s="774"/>
      <c r="K64" s="774"/>
      <c r="L64" s="775"/>
      <c r="M64" s="182"/>
      <c r="O64" s="176"/>
      <c r="P64" s="176"/>
    </row>
    <row r="65" spans="1:16" s="3" customFormat="1" x14ac:dyDescent="0.25">
      <c r="A65" s="15"/>
      <c r="B65" s="773"/>
      <c r="C65" s="774"/>
      <c r="D65" s="774"/>
      <c r="E65" s="774"/>
      <c r="F65" s="774"/>
      <c r="G65" s="774"/>
      <c r="H65" s="774"/>
      <c r="I65" s="774"/>
      <c r="J65" s="774"/>
      <c r="K65" s="774"/>
      <c r="L65" s="775"/>
      <c r="M65" s="182"/>
      <c r="O65" s="176"/>
      <c r="P65" s="176"/>
    </row>
    <row r="66" spans="1:16" s="3" customFormat="1" x14ac:dyDescent="0.25">
      <c r="A66" s="15"/>
      <c r="B66" s="773"/>
      <c r="C66" s="774"/>
      <c r="D66" s="774"/>
      <c r="E66" s="774"/>
      <c r="F66" s="774"/>
      <c r="G66" s="774"/>
      <c r="H66" s="774"/>
      <c r="I66" s="774"/>
      <c r="J66" s="774"/>
      <c r="K66" s="774"/>
      <c r="L66" s="775"/>
      <c r="M66" s="182"/>
      <c r="O66" s="176"/>
      <c r="P66" s="176"/>
    </row>
    <row r="67" spans="1:16" s="3" customFormat="1" x14ac:dyDescent="0.25">
      <c r="A67" s="15"/>
      <c r="B67" s="773"/>
      <c r="C67" s="774"/>
      <c r="D67" s="774"/>
      <c r="E67" s="774"/>
      <c r="F67" s="774"/>
      <c r="G67" s="774"/>
      <c r="H67" s="774"/>
      <c r="I67" s="774"/>
      <c r="J67" s="774"/>
      <c r="K67" s="774"/>
      <c r="L67" s="775"/>
      <c r="M67" s="182"/>
      <c r="O67" s="176"/>
      <c r="P67" s="176"/>
    </row>
    <row r="68" spans="1:16" s="3" customFormat="1" x14ac:dyDescent="0.25">
      <c r="A68" s="15"/>
      <c r="B68" s="773"/>
      <c r="C68" s="774"/>
      <c r="D68" s="774"/>
      <c r="E68" s="774"/>
      <c r="F68" s="774"/>
      <c r="G68" s="774"/>
      <c r="H68" s="774"/>
      <c r="I68" s="774"/>
      <c r="J68" s="774"/>
      <c r="K68" s="774"/>
      <c r="L68" s="775"/>
      <c r="M68" s="182"/>
      <c r="O68" s="176"/>
      <c r="P68" s="176"/>
    </row>
    <row r="69" spans="1:16" s="157" customFormat="1" x14ac:dyDescent="0.25">
      <c r="A69" s="200"/>
      <c r="B69" s="207"/>
      <c r="C69" s="208"/>
      <c r="D69" s="208"/>
      <c r="E69" s="208"/>
      <c r="F69" s="208"/>
      <c r="G69" s="208"/>
      <c r="H69" s="208"/>
      <c r="I69" s="208"/>
      <c r="J69" s="208"/>
      <c r="K69" s="208"/>
      <c r="L69" s="209"/>
    </row>
    <row r="70" spans="1:16" s="3" customFormat="1" x14ac:dyDescent="0.25">
      <c r="A70" s="14"/>
      <c r="B70" s="767" t="s">
        <v>26</v>
      </c>
      <c r="C70" s="768"/>
      <c r="D70" s="768"/>
      <c r="E70" s="768"/>
      <c r="F70" s="768"/>
      <c r="G70" s="768"/>
      <c r="H70" s="768"/>
      <c r="I70" s="768"/>
      <c r="J70" s="768"/>
      <c r="K70" s="768"/>
      <c r="L70" s="769"/>
      <c r="M70" s="216"/>
    </row>
    <row r="71" spans="1:16" s="157" customFormat="1" x14ac:dyDescent="0.25">
      <c r="A71" s="200"/>
      <c r="B71" s="201"/>
      <c r="C71" s="202"/>
      <c r="D71" s="202"/>
      <c r="E71" s="202"/>
      <c r="F71" s="202"/>
      <c r="G71" s="202"/>
      <c r="H71" s="202"/>
      <c r="I71" s="202"/>
      <c r="J71" s="202"/>
      <c r="K71" s="202"/>
      <c r="L71" s="203"/>
    </row>
    <row r="72" spans="1:16" s="157" customFormat="1" x14ac:dyDescent="0.25">
      <c r="A72" s="200"/>
      <c r="B72" s="672" t="str">
        <f>IF(Intro!$G$21="English",O72,P72)</f>
        <v>Décrivez comment votre entreprise détermine la valeur des stocks. Fournissez tout changement dans la méthode d'évaluation des stocks ou toute réduction importante de la valeur comptabilisée des stocks depuis le 1er janvier 2022.</v>
      </c>
      <c r="C72" s="673"/>
      <c r="D72" s="673"/>
      <c r="E72" s="673"/>
      <c r="F72" s="673"/>
      <c r="G72" s="673"/>
      <c r="H72" s="673"/>
      <c r="I72" s="673"/>
      <c r="J72" s="673"/>
      <c r="K72" s="673"/>
      <c r="L72" s="674"/>
      <c r="O72" s="15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2022.</v>
      </c>
      <c r="P72" s="15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2022.</v>
      </c>
    </row>
    <row r="73" spans="1:16" s="157" customFormat="1" x14ac:dyDescent="0.25">
      <c r="A73" s="200"/>
      <c r="B73" s="672"/>
      <c r="C73" s="673"/>
      <c r="D73" s="673"/>
      <c r="E73" s="673"/>
      <c r="F73" s="673"/>
      <c r="G73" s="673"/>
      <c r="H73" s="673"/>
      <c r="I73" s="673"/>
      <c r="J73" s="673"/>
      <c r="K73" s="673"/>
      <c r="L73" s="674"/>
    </row>
    <row r="74" spans="1:16" s="157" customFormat="1" x14ac:dyDescent="0.25">
      <c r="A74" s="200"/>
      <c r="B74" s="201"/>
      <c r="C74" s="202"/>
      <c r="D74" s="202"/>
      <c r="E74" s="202"/>
      <c r="F74" s="202"/>
      <c r="G74" s="202"/>
      <c r="H74" s="202"/>
      <c r="I74" s="202"/>
      <c r="J74" s="202"/>
      <c r="K74" s="202"/>
      <c r="L74" s="203"/>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3" customFormat="1" x14ac:dyDescent="0.25">
      <c r="A79" s="15"/>
      <c r="B79" s="773"/>
      <c r="C79" s="774"/>
      <c r="D79" s="774"/>
      <c r="E79" s="774"/>
      <c r="F79" s="774"/>
      <c r="G79" s="774"/>
      <c r="H79" s="774"/>
      <c r="I79" s="774"/>
      <c r="J79" s="774"/>
      <c r="K79" s="774"/>
      <c r="L79" s="775"/>
      <c r="M79" s="182"/>
      <c r="O79" s="176"/>
      <c r="P79" s="176"/>
    </row>
    <row r="80" spans="1:16" s="3" customFormat="1" x14ac:dyDescent="0.25">
      <c r="A80" s="15"/>
      <c r="B80" s="773"/>
      <c r="C80" s="774"/>
      <c r="D80" s="774"/>
      <c r="E80" s="774"/>
      <c r="F80" s="774"/>
      <c r="G80" s="774"/>
      <c r="H80" s="774"/>
      <c r="I80" s="774"/>
      <c r="J80" s="774"/>
      <c r="K80" s="774"/>
      <c r="L80" s="775"/>
      <c r="M80" s="182"/>
      <c r="O80" s="176"/>
      <c r="P80" s="176"/>
    </row>
    <row r="81" spans="1:16" s="3" customFormat="1" x14ac:dyDescent="0.25">
      <c r="A81" s="15"/>
      <c r="B81" s="773"/>
      <c r="C81" s="774"/>
      <c r="D81" s="774"/>
      <c r="E81" s="774"/>
      <c r="F81" s="774"/>
      <c r="G81" s="774"/>
      <c r="H81" s="774"/>
      <c r="I81" s="774"/>
      <c r="J81" s="774"/>
      <c r="K81" s="774"/>
      <c r="L81" s="775"/>
      <c r="M81" s="182"/>
      <c r="O81" s="176"/>
      <c r="P81" s="176"/>
    </row>
    <row r="82" spans="1:16" s="3" customFormat="1" x14ac:dyDescent="0.25">
      <c r="A82" s="15"/>
      <c r="B82" s="773"/>
      <c r="C82" s="774"/>
      <c r="D82" s="774"/>
      <c r="E82" s="774"/>
      <c r="F82" s="774"/>
      <c r="G82" s="774"/>
      <c r="H82" s="774"/>
      <c r="I82" s="774"/>
      <c r="J82" s="774"/>
      <c r="K82" s="774"/>
      <c r="L82" s="775"/>
      <c r="M82" s="182"/>
      <c r="O82" s="176"/>
      <c r="P82" s="176"/>
    </row>
    <row r="83" spans="1:16" s="157" customFormat="1" x14ac:dyDescent="0.25">
      <c r="A83" s="200"/>
      <c r="B83" s="207"/>
      <c r="C83" s="208"/>
      <c r="D83" s="208"/>
      <c r="E83" s="208"/>
      <c r="F83" s="208"/>
      <c r="G83" s="208"/>
      <c r="H83" s="208"/>
      <c r="I83" s="208"/>
      <c r="J83" s="208"/>
      <c r="K83" s="208"/>
      <c r="L83" s="209"/>
    </row>
    <row r="84" spans="1:16" s="3" customFormat="1" x14ac:dyDescent="0.25">
      <c r="A84" s="14"/>
      <c r="B84" s="767" t="s">
        <v>27</v>
      </c>
      <c r="C84" s="768"/>
      <c r="D84" s="768"/>
      <c r="E84" s="768"/>
      <c r="F84" s="768"/>
      <c r="G84" s="768"/>
      <c r="H84" s="768"/>
      <c r="I84" s="768"/>
      <c r="J84" s="768"/>
      <c r="K84" s="768"/>
      <c r="L84" s="769"/>
      <c r="M84" s="216"/>
    </row>
    <row r="85" spans="1:16" s="157" customFormat="1" x14ac:dyDescent="0.25">
      <c r="A85" s="200"/>
      <c r="B85" s="201"/>
      <c r="C85" s="202"/>
      <c r="D85" s="202"/>
      <c r="E85" s="202"/>
      <c r="F85" s="202"/>
      <c r="G85" s="202"/>
      <c r="H85" s="202"/>
      <c r="I85" s="202"/>
      <c r="J85" s="202"/>
      <c r="K85" s="202"/>
      <c r="L85" s="203"/>
    </row>
    <row r="86" spans="1:16" s="157" customFormat="1" x14ac:dyDescent="0.25">
      <c r="A86" s="200"/>
      <c r="B86" s="694" t="str">
        <f>IF(Intro!$G$21="English",O86,P86)</f>
        <v>Décrivez tout changement dans le volume des stocks des marchandises maintenus par votre entreprise depuis le 1er janvier 2022 et indiquez si ces changements ont eu une incidence quelconque sur la capacité de votre entreprise à fournir ses clients.</v>
      </c>
      <c r="C86" s="695"/>
      <c r="D86" s="695"/>
      <c r="E86" s="695"/>
      <c r="F86" s="695"/>
      <c r="G86" s="695"/>
      <c r="H86" s="695"/>
      <c r="I86" s="695"/>
      <c r="J86" s="695"/>
      <c r="K86" s="695"/>
      <c r="L86" s="696"/>
      <c r="O86" s="157" t="str">
        <f>"Describe any changes in your firm’s inventory levels of the goods since January 1, "&amp;Variables!B6&amp;" and whether these changes impacted your firm’s ability to supply customers."</f>
        <v>Describe any changes in your firm’s inventory levels of the goods since January 1, 2022 and whether these changes impacted your firm’s ability to supply customers.</v>
      </c>
      <c r="P86" s="15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2022 et indiquez si ces changements ont eu une incidence quelconque sur la capacité de votre entreprise à fournir ses clients.</v>
      </c>
    </row>
    <row r="87" spans="1:16" s="157" customFormat="1" x14ac:dyDescent="0.25">
      <c r="A87" s="200"/>
      <c r="B87" s="694"/>
      <c r="C87" s="695"/>
      <c r="D87" s="695"/>
      <c r="E87" s="695"/>
      <c r="F87" s="695"/>
      <c r="G87" s="695"/>
      <c r="H87" s="695"/>
      <c r="I87" s="695"/>
      <c r="J87" s="695"/>
      <c r="K87" s="695"/>
      <c r="L87" s="696"/>
    </row>
    <row r="88" spans="1:16" s="157" customFormat="1" x14ac:dyDescent="0.25">
      <c r="A88" s="200"/>
      <c r="B88" s="201"/>
      <c r="C88" s="202"/>
      <c r="D88" s="202"/>
      <c r="E88" s="202"/>
      <c r="F88" s="202"/>
      <c r="G88" s="202"/>
      <c r="H88" s="202"/>
      <c r="I88" s="202"/>
      <c r="J88" s="202"/>
      <c r="K88" s="202"/>
      <c r="L88" s="203"/>
    </row>
    <row r="89" spans="1:16" s="3" customFormat="1" x14ac:dyDescent="0.25">
      <c r="A89" s="15"/>
      <c r="B89" s="773"/>
      <c r="C89" s="774"/>
      <c r="D89" s="774"/>
      <c r="E89" s="774"/>
      <c r="F89" s="774"/>
      <c r="G89" s="774"/>
      <c r="H89" s="774"/>
      <c r="I89" s="774"/>
      <c r="J89" s="774"/>
      <c r="K89" s="774"/>
      <c r="L89" s="775"/>
      <c r="M89" s="182"/>
      <c r="O89" s="176"/>
      <c r="P89" s="176"/>
    </row>
    <row r="90" spans="1:16" s="3" customFormat="1" x14ac:dyDescent="0.25">
      <c r="A90" s="15"/>
      <c r="B90" s="773"/>
      <c r="C90" s="774"/>
      <c r="D90" s="774"/>
      <c r="E90" s="774"/>
      <c r="F90" s="774"/>
      <c r="G90" s="774"/>
      <c r="H90" s="774"/>
      <c r="I90" s="774"/>
      <c r="J90" s="774"/>
      <c r="K90" s="774"/>
      <c r="L90" s="775"/>
      <c r="M90" s="182"/>
      <c r="O90" s="176"/>
      <c r="P90" s="176"/>
    </row>
    <row r="91" spans="1:16" s="3" customFormat="1" x14ac:dyDescent="0.25">
      <c r="A91" s="15"/>
      <c r="B91" s="773"/>
      <c r="C91" s="774"/>
      <c r="D91" s="774"/>
      <c r="E91" s="774"/>
      <c r="F91" s="774"/>
      <c r="G91" s="774"/>
      <c r="H91" s="774"/>
      <c r="I91" s="774"/>
      <c r="J91" s="774"/>
      <c r="K91" s="774"/>
      <c r="L91" s="775"/>
      <c r="M91" s="182"/>
      <c r="O91" s="176"/>
      <c r="P91" s="176"/>
    </row>
    <row r="92" spans="1:16" s="3" customFormat="1" x14ac:dyDescent="0.25">
      <c r="A92" s="15"/>
      <c r="B92" s="773"/>
      <c r="C92" s="774"/>
      <c r="D92" s="774"/>
      <c r="E92" s="774"/>
      <c r="F92" s="774"/>
      <c r="G92" s="774"/>
      <c r="H92" s="774"/>
      <c r="I92" s="774"/>
      <c r="J92" s="774"/>
      <c r="K92" s="774"/>
      <c r="L92" s="775"/>
      <c r="M92" s="182"/>
      <c r="O92" s="176"/>
      <c r="P92" s="176"/>
    </row>
    <row r="93" spans="1:16" s="3" customFormat="1" x14ac:dyDescent="0.25">
      <c r="A93" s="15"/>
      <c r="B93" s="773"/>
      <c r="C93" s="774"/>
      <c r="D93" s="774"/>
      <c r="E93" s="774"/>
      <c r="F93" s="774"/>
      <c r="G93" s="774"/>
      <c r="H93" s="774"/>
      <c r="I93" s="774"/>
      <c r="J93" s="774"/>
      <c r="K93" s="774"/>
      <c r="L93" s="775"/>
      <c r="M93" s="182"/>
      <c r="O93" s="176"/>
      <c r="P93" s="176"/>
    </row>
    <row r="94" spans="1:16" s="3" customFormat="1" x14ac:dyDescent="0.25">
      <c r="A94" s="15"/>
      <c r="B94" s="773"/>
      <c r="C94" s="774"/>
      <c r="D94" s="774"/>
      <c r="E94" s="774"/>
      <c r="F94" s="774"/>
      <c r="G94" s="774"/>
      <c r="H94" s="774"/>
      <c r="I94" s="774"/>
      <c r="J94" s="774"/>
      <c r="K94" s="774"/>
      <c r="L94" s="775"/>
      <c r="M94" s="182"/>
      <c r="O94" s="176"/>
      <c r="P94" s="176"/>
    </row>
    <row r="95" spans="1:16" s="3" customFormat="1" x14ac:dyDescent="0.25">
      <c r="A95" s="15"/>
      <c r="B95" s="773"/>
      <c r="C95" s="774"/>
      <c r="D95" s="774"/>
      <c r="E95" s="774"/>
      <c r="F95" s="774"/>
      <c r="G95" s="774"/>
      <c r="H95" s="774"/>
      <c r="I95" s="774"/>
      <c r="J95" s="774"/>
      <c r="K95" s="774"/>
      <c r="L95" s="775"/>
      <c r="M95" s="182"/>
      <c r="O95" s="176"/>
      <c r="P95" s="176"/>
    </row>
    <row r="96" spans="1:16" s="3" customFormat="1" x14ac:dyDescent="0.25">
      <c r="A96" s="15"/>
      <c r="B96" s="773"/>
      <c r="C96" s="774"/>
      <c r="D96" s="774"/>
      <c r="E96" s="774"/>
      <c r="F96" s="774"/>
      <c r="G96" s="774"/>
      <c r="H96" s="774"/>
      <c r="I96" s="774"/>
      <c r="J96" s="774"/>
      <c r="K96" s="774"/>
      <c r="L96" s="775"/>
      <c r="M96" s="182"/>
      <c r="O96" s="176"/>
      <c r="P96" s="176"/>
    </row>
    <row r="97" spans="1:16" s="157" customFormat="1" x14ac:dyDescent="0.25">
      <c r="A97" s="200"/>
      <c r="B97" s="207"/>
      <c r="C97" s="208"/>
      <c r="D97" s="208"/>
      <c r="E97" s="208"/>
      <c r="F97" s="208"/>
      <c r="G97" s="208"/>
      <c r="H97" s="208"/>
      <c r="I97" s="208"/>
      <c r="J97" s="208"/>
      <c r="K97" s="208"/>
      <c r="L97" s="209"/>
    </row>
    <row r="98" spans="1:16" s="3" customFormat="1" x14ac:dyDescent="0.25">
      <c r="A98" s="14"/>
      <c r="B98" s="767" t="s">
        <v>28</v>
      </c>
      <c r="C98" s="768"/>
      <c r="D98" s="768"/>
      <c r="E98" s="768"/>
      <c r="F98" s="768"/>
      <c r="G98" s="768"/>
      <c r="H98" s="768"/>
      <c r="I98" s="768"/>
      <c r="J98" s="768"/>
      <c r="K98" s="768"/>
      <c r="L98" s="769"/>
      <c r="M98" s="216"/>
    </row>
    <row r="99" spans="1:16" s="157" customFormat="1" x14ac:dyDescent="0.25">
      <c r="A99" s="200"/>
      <c r="B99" s="201"/>
      <c r="C99" s="202"/>
      <c r="D99" s="202"/>
      <c r="E99" s="202"/>
      <c r="F99" s="202"/>
      <c r="G99" s="202"/>
      <c r="H99" s="202"/>
      <c r="I99" s="202"/>
      <c r="J99" s="202"/>
      <c r="K99" s="202"/>
      <c r="L99" s="203"/>
    </row>
    <row r="100" spans="1:16" s="157" customFormat="1" x14ac:dyDescent="0.25">
      <c r="A100" s="200"/>
      <c r="B100" s="694" t="str">
        <f>IF(Intro!$G$21="English",O100,P100)</f>
        <v>Décrivez les plans de votre entreprise pour gérer les niveaux de stocks au cours des deux prochaines années. Fournissez les motifs et les hypothèses sous-tendant ces objectifs et ces stratégies.</v>
      </c>
      <c r="C100" s="695"/>
      <c r="D100" s="695"/>
      <c r="E100" s="695"/>
      <c r="F100" s="695"/>
      <c r="G100" s="695"/>
      <c r="H100" s="695"/>
      <c r="I100" s="695"/>
      <c r="J100" s="695"/>
      <c r="K100" s="695"/>
      <c r="L100" s="696"/>
      <c r="O100" s="157" t="s">
        <v>442</v>
      </c>
      <c r="P100" s="157" t="s">
        <v>203</v>
      </c>
    </row>
    <row r="101" spans="1:16" s="157" customFormat="1" x14ac:dyDescent="0.25">
      <c r="A101" s="200"/>
      <c r="B101" s="694"/>
      <c r="C101" s="695"/>
      <c r="D101" s="695"/>
      <c r="E101" s="695"/>
      <c r="F101" s="695"/>
      <c r="G101" s="695"/>
      <c r="H101" s="695"/>
      <c r="I101" s="695"/>
      <c r="J101" s="695"/>
      <c r="K101" s="695"/>
      <c r="L101" s="696"/>
    </row>
    <row r="102" spans="1:16" s="157" customFormat="1" x14ac:dyDescent="0.25">
      <c r="A102" s="200"/>
      <c r="B102" s="201"/>
      <c r="C102" s="202"/>
      <c r="D102" s="202"/>
      <c r="E102" s="202"/>
      <c r="F102" s="202"/>
      <c r="G102" s="202"/>
      <c r="H102" s="202"/>
      <c r="I102" s="202"/>
      <c r="J102" s="202"/>
      <c r="K102" s="202"/>
      <c r="L102" s="203"/>
    </row>
    <row r="103" spans="1:16" s="3" customFormat="1" x14ac:dyDescent="0.25">
      <c r="A103" s="15"/>
      <c r="B103" s="773"/>
      <c r="C103" s="774"/>
      <c r="D103" s="774"/>
      <c r="E103" s="774"/>
      <c r="F103" s="774"/>
      <c r="G103" s="774"/>
      <c r="H103" s="774"/>
      <c r="I103" s="774"/>
      <c r="J103" s="774"/>
      <c r="K103" s="774"/>
      <c r="L103" s="775"/>
      <c r="M103" s="182"/>
      <c r="O103" s="176"/>
      <c r="P103" s="176"/>
    </row>
    <row r="104" spans="1:16" s="3" customFormat="1" x14ac:dyDescent="0.25">
      <c r="A104" s="15"/>
      <c r="B104" s="773"/>
      <c r="C104" s="774"/>
      <c r="D104" s="774"/>
      <c r="E104" s="774"/>
      <c r="F104" s="774"/>
      <c r="G104" s="774"/>
      <c r="H104" s="774"/>
      <c r="I104" s="774"/>
      <c r="J104" s="774"/>
      <c r="K104" s="774"/>
      <c r="L104" s="775"/>
      <c r="M104" s="182"/>
      <c r="O104" s="176"/>
      <c r="P104" s="176"/>
    </row>
    <row r="105" spans="1:16" s="3" customFormat="1" x14ac:dyDescent="0.25">
      <c r="A105" s="15"/>
      <c r="B105" s="773"/>
      <c r="C105" s="774"/>
      <c r="D105" s="774"/>
      <c r="E105" s="774"/>
      <c r="F105" s="774"/>
      <c r="G105" s="774"/>
      <c r="H105" s="774"/>
      <c r="I105" s="774"/>
      <c r="J105" s="774"/>
      <c r="K105" s="774"/>
      <c r="L105" s="775"/>
      <c r="M105" s="182"/>
      <c r="O105" s="176"/>
      <c r="P105" s="176"/>
    </row>
    <row r="106" spans="1:16" s="3" customFormat="1" x14ac:dyDescent="0.25">
      <c r="A106" s="15"/>
      <c r="B106" s="773"/>
      <c r="C106" s="774"/>
      <c r="D106" s="774"/>
      <c r="E106" s="774"/>
      <c r="F106" s="774"/>
      <c r="G106" s="774"/>
      <c r="H106" s="774"/>
      <c r="I106" s="774"/>
      <c r="J106" s="774"/>
      <c r="K106" s="774"/>
      <c r="L106" s="775"/>
      <c r="M106" s="182"/>
      <c r="O106" s="176"/>
      <c r="P106" s="176"/>
    </row>
    <row r="107" spans="1:16" s="3" customFormat="1" x14ac:dyDescent="0.25">
      <c r="A107" s="15"/>
      <c r="B107" s="773"/>
      <c r="C107" s="774"/>
      <c r="D107" s="774"/>
      <c r="E107" s="774"/>
      <c r="F107" s="774"/>
      <c r="G107" s="774"/>
      <c r="H107" s="774"/>
      <c r="I107" s="774"/>
      <c r="J107" s="774"/>
      <c r="K107" s="774"/>
      <c r="L107" s="775"/>
      <c r="M107" s="182"/>
      <c r="O107" s="176"/>
      <c r="P107" s="176"/>
    </row>
    <row r="108" spans="1:16" s="3" customFormat="1" x14ac:dyDescent="0.25">
      <c r="A108" s="15"/>
      <c r="B108" s="773"/>
      <c r="C108" s="774"/>
      <c r="D108" s="774"/>
      <c r="E108" s="774"/>
      <c r="F108" s="774"/>
      <c r="G108" s="774"/>
      <c r="H108" s="774"/>
      <c r="I108" s="774"/>
      <c r="J108" s="774"/>
      <c r="K108" s="774"/>
      <c r="L108" s="775"/>
      <c r="M108" s="182"/>
      <c r="O108" s="176"/>
      <c r="P108" s="176"/>
    </row>
    <row r="109" spans="1:16" s="3" customFormat="1" x14ac:dyDescent="0.25">
      <c r="A109" s="15"/>
      <c r="B109" s="773"/>
      <c r="C109" s="774"/>
      <c r="D109" s="774"/>
      <c r="E109" s="774"/>
      <c r="F109" s="774"/>
      <c r="G109" s="774"/>
      <c r="H109" s="774"/>
      <c r="I109" s="774"/>
      <c r="J109" s="774"/>
      <c r="K109" s="774"/>
      <c r="L109" s="775"/>
      <c r="M109" s="182"/>
      <c r="O109" s="176"/>
      <c r="P109" s="176"/>
    </row>
    <row r="110" spans="1:16" s="3" customFormat="1" x14ac:dyDescent="0.25">
      <c r="A110" s="15"/>
      <c r="B110" s="773"/>
      <c r="C110" s="774"/>
      <c r="D110" s="774"/>
      <c r="E110" s="774"/>
      <c r="F110" s="774"/>
      <c r="G110" s="774"/>
      <c r="H110" s="774"/>
      <c r="I110" s="774"/>
      <c r="J110" s="774"/>
      <c r="K110" s="774"/>
      <c r="L110" s="775"/>
      <c r="M110" s="182"/>
      <c r="O110" s="176"/>
      <c r="P110" s="176"/>
    </row>
    <row r="111" spans="1:16" s="157" customFormat="1" x14ac:dyDescent="0.25">
      <c r="A111" s="200"/>
      <c r="B111" s="207"/>
      <c r="C111" s="208"/>
      <c r="D111" s="208"/>
      <c r="E111" s="208"/>
      <c r="F111" s="208"/>
      <c r="G111" s="208"/>
      <c r="H111" s="208"/>
      <c r="I111" s="208"/>
      <c r="J111" s="208"/>
      <c r="K111" s="208"/>
      <c r="L111" s="209"/>
    </row>
    <row r="112" spans="1:16" s="3" customFormat="1" x14ac:dyDescent="0.25">
      <c r="A112" s="14"/>
      <c r="B112" s="767" t="s">
        <v>30</v>
      </c>
      <c r="C112" s="768"/>
      <c r="D112" s="768"/>
      <c r="E112" s="768"/>
      <c r="F112" s="768"/>
      <c r="G112" s="768"/>
      <c r="H112" s="768"/>
      <c r="I112" s="768"/>
      <c r="J112" s="768"/>
      <c r="K112" s="768"/>
      <c r="L112" s="769"/>
      <c r="M112" s="216"/>
    </row>
    <row r="113" spans="1:19" s="157" customFormat="1" x14ac:dyDescent="0.25">
      <c r="A113" s="200"/>
      <c r="B113" s="201"/>
      <c r="C113" s="202"/>
      <c r="D113" s="202"/>
      <c r="E113" s="202"/>
      <c r="F113" s="202"/>
      <c r="G113" s="202"/>
      <c r="H113" s="202"/>
      <c r="I113" s="202"/>
      <c r="J113" s="202"/>
      <c r="K113" s="202"/>
      <c r="L113" s="203"/>
    </row>
    <row r="114" spans="1:19" s="157" customFormat="1" x14ac:dyDescent="0.25">
      <c r="A114" s="200"/>
      <c r="B114" s="672" t="str">
        <f>IF(Intro!$G$21="English",O114,P114)</f>
        <v>Décrivez la méthode utilisée pour déterminer la valeur des ventes de votre entreprise à ses entreprises associées au Canada et/ou à l’étranger.</v>
      </c>
      <c r="C114" s="673"/>
      <c r="D114" s="673"/>
      <c r="E114" s="673"/>
      <c r="F114" s="673"/>
      <c r="G114" s="673"/>
      <c r="H114" s="673"/>
      <c r="I114" s="673"/>
      <c r="J114" s="673"/>
      <c r="K114" s="673"/>
      <c r="L114" s="674"/>
      <c r="O114" s="157" t="s">
        <v>157</v>
      </c>
      <c r="P114" s="23" t="s">
        <v>158</v>
      </c>
    </row>
    <row r="115" spans="1:19" s="157" customFormat="1" x14ac:dyDescent="0.25">
      <c r="A115" s="200"/>
      <c r="B115" s="201"/>
      <c r="C115" s="202"/>
      <c r="D115" s="202"/>
      <c r="E115" s="202"/>
      <c r="F115" s="202"/>
      <c r="G115" s="202"/>
      <c r="H115" s="202"/>
      <c r="I115" s="202"/>
      <c r="J115" s="202"/>
      <c r="K115" s="202"/>
      <c r="L115" s="203"/>
    </row>
    <row r="116" spans="1:19" s="3" customFormat="1" x14ac:dyDescent="0.25">
      <c r="A116" s="15"/>
      <c r="B116" s="773"/>
      <c r="C116" s="774"/>
      <c r="D116" s="774"/>
      <c r="E116" s="774"/>
      <c r="F116" s="774"/>
      <c r="G116" s="774"/>
      <c r="H116" s="774"/>
      <c r="I116" s="774"/>
      <c r="J116" s="774"/>
      <c r="K116" s="774"/>
      <c r="L116" s="775"/>
      <c r="M116" s="182"/>
      <c r="O116" s="176"/>
      <c r="P116" s="176"/>
    </row>
    <row r="117" spans="1:19" s="3" customFormat="1" x14ac:dyDescent="0.25">
      <c r="A117" s="15"/>
      <c r="B117" s="773"/>
      <c r="C117" s="774"/>
      <c r="D117" s="774"/>
      <c r="E117" s="774"/>
      <c r="F117" s="774"/>
      <c r="G117" s="774"/>
      <c r="H117" s="774"/>
      <c r="I117" s="774"/>
      <c r="J117" s="774"/>
      <c r="K117" s="774"/>
      <c r="L117" s="775"/>
      <c r="M117" s="182"/>
      <c r="O117" s="176"/>
      <c r="P117" s="176"/>
    </row>
    <row r="118" spans="1:19" s="3" customFormat="1" x14ac:dyDescent="0.25">
      <c r="A118" s="15"/>
      <c r="B118" s="773"/>
      <c r="C118" s="774"/>
      <c r="D118" s="774"/>
      <c r="E118" s="774"/>
      <c r="F118" s="774"/>
      <c r="G118" s="774"/>
      <c r="H118" s="774"/>
      <c r="I118" s="774"/>
      <c r="J118" s="774"/>
      <c r="K118" s="774"/>
      <c r="L118" s="775"/>
      <c r="M118" s="182"/>
      <c r="O118" s="176"/>
      <c r="P118" s="176"/>
    </row>
    <row r="119" spans="1:19" s="3" customFormat="1" x14ac:dyDescent="0.25">
      <c r="A119" s="15"/>
      <c r="B119" s="773"/>
      <c r="C119" s="774"/>
      <c r="D119" s="774"/>
      <c r="E119" s="774"/>
      <c r="F119" s="774"/>
      <c r="G119" s="774"/>
      <c r="H119" s="774"/>
      <c r="I119" s="774"/>
      <c r="J119" s="774"/>
      <c r="K119" s="774"/>
      <c r="L119" s="775"/>
      <c r="M119" s="182"/>
      <c r="O119" s="176"/>
      <c r="P119" s="176"/>
    </row>
    <row r="120" spans="1:19" s="3" customFormat="1" x14ac:dyDescent="0.25">
      <c r="A120" s="15"/>
      <c r="B120" s="773"/>
      <c r="C120" s="774"/>
      <c r="D120" s="774"/>
      <c r="E120" s="774"/>
      <c r="F120" s="774"/>
      <c r="G120" s="774"/>
      <c r="H120" s="774"/>
      <c r="I120" s="774"/>
      <c r="J120" s="774"/>
      <c r="K120" s="774"/>
      <c r="L120" s="775"/>
      <c r="M120" s="182"/>
      <c r="O120" s="176"/>
      <c r="P120" s="176"/>
    </row>
    <row r="121" spans="1:19" s="3" customFormat="1" x14ac:dyDescent="0.25">
      <c r="A121" s="15"/>
      <c r="B121" s="773"/>
      <c r="C121" s="774"/>
      <c r="D121" s="774"/>
      <c r="E121" s="774"/>
      <c r="F121" s="774"/>
      <c r="G121" s="774"/>
      <c r="H121" s="774"/>
      <c r="I121" s="774"/>
      <c r="J121" s="774"/>
      <c r="K121" s="774"/>
      <c r="L121" s="775"/>
      <c r="M121" s="182"/>
      <c r="O121" s="176"/>
      <c r="P121" s="176"/>
    </row>
    <row r="122" spans="1:19" s="3" customFormat="1" x14ac:dyDescent="0.25">
      <c r="A122" s="15"/>
      <c r="B122" s="773"/>
      <c r="C122" s="774"/>
      <c r="D122" s="774"/>
      <c r="E122" s="774"/>
      <c r="F122" s="774"/>
      <c r="G122" s="774"/>
      <c r="H122" s="774"/>
      <c r="I122" s="774"/>
      <c r="J122" s="774"/>
      <c r="K122" s="774"/>
      <c r="L122" s="775"/>
      <c r="M122" s="182"/>
      <c r="O122" s="176"/>
      <c r="P122" s="176"/>
    </row>
    <row r="123" spans="1:19" s="3" customFormat="1" x14ac:dyDescent="0.25">
      <c r="A123" s="15"/>
      <c r="B123" s="773"/>
      <c r="C123" s="774"/>
      <c r="D123" s="774"/>
      <c r="E123" s="774"/>
      <c r="F123" s="774"/>
      <c r="G123" s="774"/>
      <c r="H123" s="774"/>
      <c r="I123" s="774"/>
      <c r="J123" s="774"/>
      <c r="K123" s="774"/>
      <c r="L123" s="775"/>
      <c r="M123" s="182"/>
      <c r="O123" s="176"/>
      <c r="P123" s="176"/>
    </row>
    <row r="124" spans="1:19" s="157" customFormat="1" x14ac:dyDescent="0.25">
      <c r="A124" s="200"/>
      <c r="B124" s="207"/>
      <c r="C124" s="208"/>
      <c r="D124" s="208"/>
      <c r="E124" s="208"/>
      <c r="F124" s="208"/>
      <c r="G124" s="208"/>
      <c r="H124" s="208"/>
      <c r="I124" s="208"/>
      <c r="J124" s="208"/>
      <c r="K124" s="208"/>
      <c r="L124" s="209"/>
    </row>
    <row r="125" spans="1:19" s="47" customFormat="1" x14ac:dyDescent="0.25">
      <c r="A125" s="46"/>
      <c r="B125" s="843" t="s">
        <v>31</v>
      </c>
      <c r="C125" s="844"/>
      <c r="D125" s="844"/>
      <c r="E125" s="844"/>
      <c r="F125" s="844"/>
      <c r="G125" s="844"/>
      <c r="H125" s="844"/>
      <c r="I125" s="844"/>
      <c r="J125" s="844"/>
      <c r="K125" s="844"/>
      <c r="L125" s="845"/>
      <c r="M125" s="199"/>
    </row>
    <row r="126" spans="1:19" s="156" customFormat="1" x14ac:dyDescent="0.25">
      <c r="A126" s="46"/>
      <c r="B126" s="227"/>
      <c r="C126" s="228"/>
      <c r="D126" s="228"/>
      <c r="E126" s="228"/>
      <c r="F126" s="228"/>
      <c r="G126" s="228"/>
      <c r="H126" s="228"/>
      <c r="I126" s="228"/>
      <c r="J126" s="228"/>
      <c r="K126" s="228"/>
      <c r="L126" s="229"/>
    </row>
    <row r="127" spans="1:19" s="156" customFormat="1" x14ac:dyDescent="0.25">
      <c r="A127" s="46"/>
      <c r="B127" s="876" t="str">
        <f>IF(Intro!$G$21="English",O127,P127)</f>
        <v>Expliquez la façon dont votre entreprise calcule les prix des marchandises pour ses clients. Donnez les détails au sujet des modalités, rabais, réductions, remises, primes, ajustements de prix et autres mesures offerts aux acheteurs depuis le 1er janvier 2022. Si votre entreprise utilise des listes de prix ou de remises, fournissez-en des copies. Expliquez comment ces pratiques de fixation des prix ont changé depuis le 1er janvier 2022.</v>
      </c>
      <c r="C127" s="877"/>
      <c r="D127" s="877"/>
      <c r="E127" s="877"/>
      <c r="F127" s="877"/>
      <c r="G127" s="877"/>
      <c r="H127" s="877"/>
      <c r="I127" s="877"/>
      <c r="J127" s="877"/>
      <c r="K127" s="877"/>
      <c r="L127" s="878"/>
      <c r="O127" s="15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2022. If your firm uses price or discount lists, provide copies. Explain whether these pricing practices to your customers have changed since January 1, 2022.</v>
      </c>
      <c r="P127" s="15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2022. Si votre entreprise utilise des listes de prix ou de remises, fournissez-en des copies. Expliquez comment ces pratiques de fixation des prix ont changé depuis le 1er janvier 2022.</v>
      </c>
      <c r="Q127" s="167"/>
      <c r="R127" s="167"/>
      <c r="S127" s="167"/>
    </row>
    <row r="128" spans="1:19" s="156" customFormat="1" x14ac:dyDescent="0.25">
      <c r="A128" s="46"/>
      <c r="B128" s="876"/>
      <c r="C128" s="877"/>
      <c r="D128" s="877"/>
      <c r="E128" s="877"/>
      <c r="F128" s="877"/>
      <c r="G128" s="877"/>
      <c r="H128" s="877"/>
      <c r="I128" s="877"/>
      <c r="J128" s="877"/>
      <c r="K128" s="877"/>
      <c r="L128" s="878"/>
      <c r="Q128" s="167"/>
      <c r="R128" s="167"/>
      <c r="S128" s="167"/>
    </row>
    <row r="129" spans="1:19" s="156" customFormat="1" x14ac:dyDescent="0.25">
      <c r="A129" s="46"/>
      <c r="B129" s="876"/>
      <c r="C129" s="877"/>
      <c r="D129" s="877"/>
      <c r="E129" s="877"/>
      <c r="F129" s="877"/>
      <c r="G129" s="877"/>
      <c r="H129" s="877"/>
      <c r="I129" s="877"/>
      <c r="J129" s="877"/>
      <c r="K129" s="877"/>
      <c r="L129" s="878"/>
      <c r="Q129" s="167"/>
      <c r="R129" s="167"/>
      <c r="S129" s="167"/>
    </row>
    <row r="130" spans="1:19" s="156" customFormat="1" x14ac:dyDescent="0.25">
      <c r="A130" s="46"/>
      <c r="B130" s="227"/>
      <c r="C130" s="228"/>
      <c r="D130" s="228"/>
      <c r="E130" s="228"/>
      <c r="F130" s="228"/>
      <c r="G130" s="228"/>
      <c r="H130" s="228"/>
      <c r="I130" s="228"/>
      <c r="J130" s="228"/>
      <c r="K130" s="228"/>
      <c r="L130" s="229"/>
    </row>
    <row r="131" spans="1:19" s="3" customFormat="1" x14ac:dyDescent="0.25">
      <c r="A131" s="15"/>
      <c r="B131" s="773"/>
      <c r="C131" s="774"/>
      <c r="D131" s="774"/>
      <c r="E131" s="774"/>
      <c r="F131" s="774"/>
      <c r="G131" s="774"/>
      <c r="H131" s="774"/>
      <c r="I131" s="774"/>
      <c r="J131" s="774"/>
      <c r="K131" s="774"/>
      <c r="L131" s="775"/>
      <c r="M131" s="182"/>
      <c r="O131" s="176"/>
      <c r="P131" s="176"/>
    </row>
    <row r="132" spans="1:19" s="3" customFormat="1" x14ac:dyDescent="0.25">
      <c r="A132" s="15"/>
      <c r="B132" s="773"/>
      <c r="C132" s="774"/>
      <c r="D132" s="774"/>
      <c r="E132" s="774"/>
      <c r="F132" s="774"/>
      <c r="G132" s="774"/>
      <c r="H132" s="774"/>
      <c r="I132" s="774"/>
      <c r="J132" s="774"/>
      <c r="K132" s="774"/>
      <c r="L132" s="775"/>
      <c r="M132" s="182"/>
      <c r="O132" s="176"/>
      <c r="P132" s="176"/>
    </row>
    <row r="133" spans="1:19" s="3" customFormat="1" x14ac:dyDescent="0.25">
      <c r="A133" s="15"/>
      <c r="B133" s="773"/>
      <c r="C133" s="774"/>
      <c r="D133" s="774"/>
      <c r="E133" s="774"/>
      <c r="F133" s="774"/>
      <c r="G133" s="774"/>
      <c r="H133" s="774"/>
      <c r="I133" s="774"/>
      <c r="J133" s="774"/>
      <c r="K133" s="774"/>
      <c r="L133" s="775"/>
      <c r="M133" s="182"/>
      <c r="O133" s="176"/>
      <c r="P133" s="176"/>
    </row>
    <row r="134" spans="1:19" s="3" customFormat="1" x14ac:dyDescent="0.25">
      <c r="A134" s="15"/>
      <c r="B134" s="773"/>
      <c r="C134" s="774"/>
      <c r="D134" s="774"/>
      <c r="E134" s="774"/>
      <c r="F134" s="774"/>
      <c r="G134" s="774"/>
      <c r="H134" s="774"/>
      <c r="I134" s="774"/>
      <c r="J134" s="774"/>
      <c r="K134" s="774"/>
      <c r="L134" s="775"/>
      <c r="M134" s="182"/>
      <c r="O134" s="176"/>
      <c r="P134" s="176"/>
    </row>
    <row r="135" spans="1:19" s="3" customFormat="1" x14ac:dyDescent="0.25">
      <c r="A135" s="15"/>
      <c r="B135" s="773"/>
      <c r="C135" s="774"/>
      <c r="D135" s="774"/>
      <c r="E135" s="774"/>
      <c r="F135" s="774"/>
      <c r="G135" s="774"/>
      <c r="H135" s="774"/>
      <c r="I135" s="774"/>
      <c r="J135" s="774"/>
      <c r="K135" s="774"/>
      <c r="L135" s="775"/>
      <c r="M135" s="182"/>
      <c r="O135" s="176"/>
      <c r="P135" s="176"/>
    </row>
    <row r="136" spans="1:19" s="3" customFormat="1" x14ac:dyDescent="0.25">
      <c r="A136" s="15"/>
      <c r="B136" s="773"/>
      <c r="C136" s="774"/>
      <c r="D136" s="774"/>
      <c r="E136" s="774"/>
      <c r="F136" s="774"/>
      <c r="G136" s="774"/>
      <c r="H136" s="774"/>
      <c r="I136" s="774"/>
      <c r="J136" s="774"/>
      <c r="K136" s="774"/>
      <c r="L136" s="775"/>
      <c r="M136" s="182"/>
      <c r="O136" s="176"/>
      <c r="P136" s="176"/>
    </row>
    <row r="137" spans="1:19" s="3" customFormat="1" x14ac:dyDescent="0.25">
      <c r="A137" s="15"/>
      <c r="B137" s="773"/>
      <c r="C137" s="774"/>
      <c r="D137" s="774"/>
      <c r="E137" s="774"/>
      <c r="F137" s="774"/>
      <c r="G137" s="774"/>
      <c r="H137" s="774"/>
      <c r="I137" s="774"/>
      <c r="J137" s="774"/>
      <c r="K137" s="774"/>
      <c r="L137" s="775"/>
      <c r="M137" s="182"/>
      <c r="O137" s="176"/>
      <c r="P137" s="176"/>
    </row>
    <row r="138" spans="1:19" s="3" customFormat="1" x14ac:dyDescent="0.25">
      <c r="A138" s="15"/>
      <c r="B138" s="773"/>
      <c r="C138" s="774"/>
      <c r="D138" s="774"/>
      <c r="E138" s="774"/>
      <c r="F138" s="774"/>
      <c r="G138" s="774"/>
      <c r="H138" s="774"/>
      <c r="I138" s="774"/>
      <c r="J138" s="774"/>
      <c r="K138" s="774"/>
      <c r="L138" s="775"/>
      <c r="M138" s="182"/>
      <c r="O138" s="176"/>
      <c r="P138" s="176"/>
    </row>
    <row r="139" spans="1:19" s="156" customFormat="1" x14ac:dyDescent="0.25">
      <c r="A139" s="46"/>
      <c r="B139" s="230"/>
      <c r="C139" s="231"/>
      <c r="D139" s="231"/>
      <c r="E139" s="231"/>
      <c r="F139" s="231"/>
      <c r="G139" s="231"/>
      <c r="H139" s="231"/>
      <c r="I139" s="231"/>
      <c r="J139" s="231"/>
      <c r="K139" s="231"/>
      <c r="L139" s="232"/>
    </row>
    <row r="140" spans="1:19" s="3" customFormat="1" x14ac:dyDescent="0.25">
      <c r="A140" s="14"/>
      <c r="B140" s="767" t="s">
        <v>33</v>
      </c>
      <c r="C140" s="768"/>
      <c r="D140" s="768"/>
      <c r="E140" s="768"/>
      <c r="F140" s="768"/>
      <c r="G140" s="768"/>
      <c r="H140" s="768"/>
      <c r="I140" s="768"/>
      <c r="J140" s="768"/>
      <c r="K140" s="768"/>
      <c r="L140" s="769"/>
      <c r="M140" s="216"/>
    </row>
    <row r="141" spans="1:19" s="157" customFormat="1" x14ac:dyDescent="0.25">
      <c r="A141" s="200"/>
      <c r="B141" s="201"/>
      <c r="C141" s="202"/>
      <c r="D141" s="202"/>
      <c r="E141" s="202"/>
      <c r="F141" s="202"/>
      <c r="G141" s="202"/>
      <c r="H141" s="202"/>
      <c r="I141" s="202"/>
      <c r="J141" s="202"/>
      <c r="K141" s="202"/>
      <c r="L141" s="203"/>
    </row>
    <row r="142" spans="1:19" s="157" customFormat="1" x14ac:dyDescent="0.25">
      <c r="A142" s="200"/>
      <c r="B142" s="778" t="str">
        <f>IF(Intro!$G$21="English",O142,P142)</f>
        <v>Indiquez la proportion de la valeur de vente nette rendue de vos ventes à l’importation qui est représentée par les frais de livraison.</v>
      </c>
      <c r="C142" s="779"/>
      <c r="D142" s="779"/>
      <c r="E142" s="779"/>
      <c r="F142" s="779"/>
      <c r="G142" s="779"/>
      <c r="H142" s="779"/>
      <c r="I142" s="779"/>
      <c r="J142" s="779"/>
      <c r="K142" s="779"/>
      <c r="L142" s="780"/>
      <c r="O142" s="157" t="s">
        <v>602</v>
      </c>
      <c r="P142" s="180" t="s">
        <v>760</v>
      </c>
    </row>
    <row r="143" spans="1:19" s="157" customFormat="1" x14ac:dyDescent="0.25">
      <c r="A143" s="200"/>
      <c r="B143" s="201"/>
      <c r="C143" s="202"/>
      <c r="D143" s="202"/>
      <c r="E143" s="202"/>
      <c r="F143" s="202"/>
      <c r="G143" s="202"/>
      <c r="H143" s="202"/>
      <c r="I143" s="202"/>
      <c r="J143" s="202"/>
      <c r="K143" s="202"/>
      <c r="L143" s="203"/>
    </row>
    <row r="144" spans="1:19" s="12" customFormat="1" x14ac:dyDescent="0.25">
      <c r="A144" s="14"/>
      <c r="B144" s="186"/>
      <c r="C144" s="187"/>
      <c r="D144" s="32"/>
      <c r="E144" s="851">
        <f>Variables!$B$6</f>
        <v>2022</v>
      </c>
      <c r="F144" s="851">
        <f>E144+1</f>
        <v>2023</v>
      </c>
      <c r="G144" s="851">
        <f>F144+1</f>
        <v>2024</v>
      </c>
      <c r="H144" s="851" t="str">
        <f>K53</f>
        <v>janv-sept 2024</v>
      </c>
      <c r="I144" s="851" t="str">
        <f>L53</f>
        <v>janv-sept 2025</v>
      </c>
      <c r="J144" s="210"/>
      <c r="K144" s="210"/>
      <c r="L144" s="211"/>
      <c r="O144" s="13"/>
    </row>
    <row r="145" spans="1:16" s="12" customFormat="1" x14ac:dyDescent="0.25">
      <c r="A145" s="14"/>
      <c r="B145" s="261"/>
      <c r="C145" s="262"/>
      <c r="D145" s="32"/>
      <c r="E145" s="852"/>
      <c r="F145" s="852"/>
      <c r="G145" s="852"/>
      <c r="H145" s="852"/>
      <c r="I145" s="852"/>
      <c r="J145" s="210"/>
      <c r="K145" s="210"/>
      <c r="L145" s="211"/>
      <c r="O145" s="13"/>
    </row>
    <row r="146" spans="1:16" s="157" customFormat="1" x14ac:dyDescent="0.25">
      <c r="A146" s="200"/>
      <c r="B146" s="783" t="str">
        <f>IF(Intro!$G$21="English",O146,P146)</f>
        <v>Coût de livraison</v>
      </c>
      <c r="C146" s="784"/>
      <c r="D146" s="289" t="s">
        <v>192</v>
      </c>
      <c r="E146" s="279"/>
      <c r="F146" s="279"/>
      <c r="G146" s="279"/>
      <c r="H146" s="279"/>
      <c r="I146" s="279"/>
      <c r="J146" s="210"/>
      <c r="K146" s="210"/>
      <c r="L146" s="211"/>
      <c r="O146" s="157" t="s">
        <v>201</v>
      </c>
      <c r="P146" s="157" t="s">
        <v>202</v>
      </c>
    </row>
    <row r="147" spans="1:16" s="157" customFormat="1" x14ac:dyDescent="0.25">
      <c r="A147" s="200"/>
      <c r="B147" s="201"/>
      <c r="C147" s="202"/>
      <c r="D147" s="202"/>
      <c r="E147" s="202"/>
      <c r="F147" s="202"/>
      <c r="G147" s="202"/>
      <c r="H147" s="202"/>
      <c r="I147" s="202"/>
      <c r="J147" s="202"/>
      <c r="K147" s="202"/>
      <c r="L147" s="203"/>
    </row>
    <row r="148" spans="1:16" s="157" customFormat="1" x14ac:dyDescent="0.25">
      <c r="A148" s="200"/>
      <c r="B148" s="778" t="str">
        <f>IF(Intro!$G$21="English",O148,P148)</f>
        <v>Expliquez pourquoi la proportion de la valeur de vente nette rendue de vos ventes intérieures représentée par les frais de livraison a changé depuis le 1er janvier 2022.</v>
      </c>
      <c r="C148" s="779"/>
      <c r="D148" s="779"/>
      <c r="E148" s="779"/>
      <c r="F148" s="779"/>
      <c r="G148" s="779"/>
      <c r="H148" s="779"/>
      <c r="I148" s="779"/>
      <c r="J148" s="779"/>
      <c r="K148" s="779"/>
      <c r="L148" s="780"/>
      <c r="O148" s="157" t="str">
        <f>"Explain why the proportion of your domestic net delivered selling value represented by delivery costs has changed since January 1, "&amp;Variables!B6&amp;"."</f>
        <v>Explain why the proportion of your domestic net delivered selling value represented by delivery costs has changed since January 1, 2022.</v>
      </c>
      <c r="P148" s="157" t="str">
        <f>"Expliquez pourquoi la proportion de la valeur de vente nette rendue de vos ventes intérieures représentée par les frais de livraison a changé depuis le 1er janvier "&amp;Variables!B6&amp;"."</f>
        <v>Expliquez pourquoi la proportion de la valeur de vente nette rendue de vos ventes intérieures représentée par les frais de livraison a changé depuis le 1er janvier 2022.</v>
      </c>
    </row>
    <row r="149" spans="1:16" s="157" customFormat="1" x14ac:dyDescent="0.25">
      <c r="A149" s="200"/>
      <c r="B149" s="201"/>
      <c r="C149" s="202"/>
      <c r="D149" s="202"/>
      <c r="E149" s="202"/>
      <c r="F149" s="202"/>
      <c r="G149" s="202"/>
      <c r="H149" s="202"/>
      <c r="I149" s="202"/>
      <c r="J149" s="202"/>
      <c r="K149" s="202"/>
      <c r="L149" s="203"/>
    </row>
    <row r="150" spans="1:16" s="3" customFormat="1" x14ac:dyDescent="0.25">
      <c r="A150" s="15"/>
      <c r="B150" s="773"/>
      <c r="C150" s="774"/>
      <c r="D150" s="774"/>
      <c r="E150" s="774"/>
      <c r="F150" s="774"/>
      <c r="G150" s="774"/>
      <c r="H150" s="774"/>
      <c r="I150" s="774"/>
      <c r="J150" s="774"/>
      <c r="K150" s="774"/>
      <c r="L150" s="775"/>
      <c r="M150" s="182"/>
      <c r="O150" s="176"/>
      <c r="P150" s="176"/>
    </row>
    <row r="151" spans="1:16" s="3" customFormat="1" x14ac:dyDescent="0.25">
      <c r="A151" s="15"/>
      <c r="B151" s="773"/>
      <c r="C151" s="774"/>
      <c r="D151" s="774"/>
      <c r="E151" s="774"/>
      <c r="F151" s="774"/>
      <c r="G151" s="774"/>
      <c r="H151" s="774"/>
      <c r="I151" s="774"/>
      <c r="J151" s="774"/>
      <c r="K151" s="774"/>
      <c r="L151" s="775"/>
      <c r="M151" s="182"/>
      <c r="O151" s="176"/>
      <c r="P151" s="176"/>
    </row>
    <row r="152" spans="1:16" s="3" customFormat="1" x14ac:dyDescent="0.25">
      <c r="A152" s="15"/>
      <c r="B152" s="773"/>
      <c r="C152" s="774"/>
      <c r="D152" s="774"/>
      <c r="E152" s="774"/>
      <c r="F152" s="774"/>
      <c r="G152" s="774"/>
      <c r="H152" s="774"/>
      <c r="I152" s="774"/>
      <c r="J152" s="774"/>
      <c r="K152" s="774"/>
      <c r="L152" s="775"/>
      <c r="M152" s="182"/>
      <c r="O152" s="176"/>
      <c r="P152" s="176"/>
    </row>
    <row r="153" spans="1:16" s="3" customFormat="1" x14ac:dyDescent="0.25">
      <c r="A153" s="15"/>
      <c r="B153" s="773"/>
      <c r="C153" s="774"/>
      <c r="D153" s="774"/>
      <c r="E153" s="774"/>
      <c r="F153" s="774"/>
      <c r="G153" s="774"/>
      <c r="H153" s="774"/>
      <c r="I153" s="774"/>
      <c r="J153" s="774"/>
      <c r="K153" s="774"/>
      <c r="L153" s="775"/>
      <c r="M153" s="182"/>
      <c r="O153" s="176"/>
      <c r="P153" s="176"/>
    </row>
    <row r="154" spans="1:16" s="3" customFormat="1" x14ac:dyDescent="0.25">
      <c r="A154" s="15"/>
      <c r="B154" s="773"/>
      <c r="C154" s="774"/>
      <c r="D154" s="774"/>
      <c r="E154" s="774"/>
      <c r="F154" s="774"/>
      <c r="G154" s="774"/>
      <c r="H154" s="774"/>
      <c r="I154" s="774"/>
      <c r="J154" s="774"/>
      <c r="K154" s="774"/>
      <c r="L154" s="775"/>
      <c r="M154" s="182"/>
      <c r="O154" s="176"/>
      <c r="P154" s="176"/>
    </row>
    <row r="155" spans="1:16" s="3" customFormat="1" x14ac:dyDescent="0.25">
      <c r="A155" s="15"/>
      <c r="B155" s="773"/>
      <c r="C155" s="774"/>
      <c r="D155" s="774"/>
      <c r="E155" s="774"/>
      <c r="F155" s="774"/>
      <c r="G155" s="774"/>
      <c r="H155" s="774"/>
      <c r="I155" s="774"/>
      <c r="J155" s="774"/>
      <c r="K155" s="774"/>
      <c r="L155" s="775"/>
      <c r="M155" s="182"/>
      <c r="O155" s="176"/>
      <c r="P155" s="176"/>
    </row>
    <row r="156" spans="1:16" s="3" customFormat="1" x14ac:dyDescent="0.25">
      <c r="A156" s="15"/>
      <c r="B156" s="773"/>
      <c r="C156" s="774"/>
      <c r="D156" s="774"/>
      <c r="E156" s="774"/>
      <c r="F156" s="774"/>
      <c r="G156" s="774"/>
      <c r="H156" s="774"/>
      <c r="I156" s="774"/>
      <c r="J156" s="774"/>
      <c r="K156" s="774"/>
      <c r="L156" s="775"/>
      <c r="M156" s="182"/>
      <c r="O156" s="176"/>
      <c r="P156" s="176"/>
    </row>
    <row r="157" spans="1:16" s="3" customFormat="1" x14ac:dyDescent="0.25">
      <c r="A157" s="15"/>
      <c r="B157" s="773"/>
      <c r="C157" s="774"/>
      <c r="D157" s="774"/>
      <c r="E157" s="774"/>
      <c r="F157" s="774"/>
      <c r="G157" s="774"/>
      <c r="H157" s="774"/>
      <c r="I157" s="774"/>
      <c r="J157" s="774"/>
      <c r="K157" s="774"/>
      <c r="L157" s="775"/>
      <c r="M157" s="182"/>
      <c r="O157" s="176"/>
      <c r="P157" s="176"/>
    </row>
    <row r="158" spans="1:16" s="157" customFormat="1" x14ac:dyDescent="0.25">
      <c r="A158" s="200"/>
      <c r="B158" s="207"/>
      <c r="C158" s="208"/>
      <c r="D158" s="208"/>
      <c r="E158" s="208"/>
      <c r="F158" s="208"/>
      <c r="G158" s="208"/>
      <c r="H158" s="208"/>
      <c r="I158" s="208"/>
      <c r="J158" s="208"/>
      <c r="K158" s="208"/>
      <c r="L158" s="209"/>
    </row>
    <row r="159" spans="1:16" s="3" customFormat="1" x14ac:dyDescent="0.25">
      <c r="A159" s="14"/>
      <c r="B159" s="767" t="s">
        <v>34</v>
      </c>
      <c r="C159" s="768"/>
      <c r="D159" s="768"/>
      <c r="E159" s="768"/>
      <c r="F159" s="768"/>
      <c r="G159" s="768"/>
      <c r="H159" s="768"/>
      <c r="I159" s="768"/>
      <c r="J159" s="768"/>
      <c r="K159" s="768"/>
      <c r="L159" s="769"/>
      <c r="M159" s="216"/>
    </row>
    <row r="160" spans="1:16" s="157" customFormat="1" x14ac:dyDescent="0.25">
      <c r="A160" s="200"/>
      <c r="B160" s="201"/>
      <c r="C160" s="202"/>
      <c r="D160" s="202"/>
      <c r="E160" s="202"/>
      <c r="F160" s="202"/>
      <c r="G160" s="202"/>
      <c r="H160" s="202"/>
      <c r="I160" s="202"/>
      <c r="J160" s="202"/>
      <c r="K160" s="202"/>
      <c r="L160" s="203"/>
    </row>
    <row r="161" spans="1:16" s="157" customFormat="1" x14ac:dyDescent="0.25">
      <c r="A161" s="200"/>
      <c r="B161" s="672" t="str">
        <f>IF(Intro!$G$21="English",O161,P161)</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61" s="673"/>
      <c r="D161" s="673"/>
      <c r="E161" s="673"/>
      <c r="F161" s="673"/>
      <c r="G161" s="673"/>
      <c r="H161" s="673"/>
      <c r="I161" s="673"/>
      <c r="J161" s="673"/>
      <c r="K161" s="673"/>
      <c r="L161" s="674"/>
      <c r="O161" s="157" t="s">
        <v>204</v>
      </c>
      <c r="P161" s="157" t="s">
        <v>205</v>
      </c>
    </row>
    <row r="162" spans="1:16" s="157" customFormat="1" x14ac:dyDescent="0.25">
      <c r="A162" s="200"/>
      <c r="B162" s="672"/>
      <c r="C162" s="673"/>
      <c r="D162" s="673"/>
      <c r="E162" s="673"/>
      <c r="F162" s="673"/>
      <c r="G162" s="673"/>
      <c r="H162" s="673"/>
      <c r="I162" s="673"/>
      <c r="J162" s="673"/>
      <c r="K162" s="673"/>
      <c r="L162" s="674"/>
    </row>
    <row r="163" spans="1:16" s="157" customFormat="1" x14ac:dyDescent="0.25">
      <c r="A163" s="200"/>
      <c r="B163" s="201"/>
      <c r="C163" s="202"/>
      <c r="D163" s="202"/>
      <c r="E163" s="202"/>
      <c r="F163" s="202"/>
      <c r="G163" s="202"/>
      <c r="H163" s="202"/>
      <c r="I163" s="202"/>
      <c r="J163" s="202"/>
      <c r="K163" s="202"/>
      <c r="L163" s="203"/>
    </row>
    <row r="164" spans="1:16" s="3" customFormat="1" x14ac:dyDescent="0.25">
      <c r="A164" s="15"/>
      <c r="B164" s="773"/>
      <c r="C164" s="774"/>
      <c r="D164" s="774"/>
      <c r="E164" s="774"/>
      <c r="F164" s="774"/>
      <c r="G164" s="774"/>
      <c r="H164" s="774"/>
      <c r="I164" s="774"/>
      <c r="J164" s="774"/>
      <c r="K164" s="774"/>
      <c r="L164" s="775"/>
      <c r="M164" s="182"/>
      <c r="O164" s="176"/>
      <c r="P164" s="176"/>
    </row>
    <row r="165" spans="1:16" s="3" customFormat="1" x14ac:dyDescent="0.25">
      <c r="A165" s="15"/>
      <c r="B165" s="773"/>
      <c r="C165" s="774"/>
      <c r="D165" s="774"/>
      <c r="E165" s="774"/>
      <c r="F165" s="774"/>
      <c r="G165" s="774"/>
      <c r="H165" s="774"/>
      <c r="I165" s="774"/>
      <c r="J165" s="774"/>
      <c r="K165" s="774"/>
      <c r="L165" s="775"/>
      <c r="M165" s="182"/>
      <c r="O165" s="176"/>
      <c r="P165" s="176"/>
    </row>
    <row r="166" spans="1:16" s="3" customFormat="1" x14ac:dyDescent="0.25">
      <c r="A166" s="15"/>
      <c r="B166" s="773"/>
      <c r="C166" s="774"/>
      <c r="D166" s="774"/>
      <c r="E166" s="774"/>
      <c r="F166" s="774"/>
      <c r="G166" s="774"/>
      <c r="H166" s="774"/>
      <c r="I166" s="774"/>
      <c r="J166" s="774"/>
      <c r="K166" s="774"/>
      <c r="L166" s="775"/>
      <c r="M166" s="182"/>
      <c r="O166" s="176"/>
      <c r="P166" s="176"/>
    </row>
    <row r="167" spans="1:16" s="3" customFormat="1" x14ac:dyDescent="0.25">
      <c r="A167" s="15"/>
      <c r="B167" s="773"/>
      <c r="C167" s="774"/>
      <c r="D167" s="774"/>
      <c r="E167" s="774"/>
      <c r="F167" s="774"/>
      <c r="G167" s="774"/>
      <c r="H167" s="774"/>
      <c r="I167" s="774"/>
      <c r="J167" s="774"/>
      <c r="K167" s="774"/>
      <c r="L167" s="775"/>
      <c r="M167" s="182"/>
      <c r="O167" s="176"/>
      <c r="P167" s="176"/>
    </row>
    <row r="168" spans="1:16" s="3" customFormat="1" x14ac:dyDescent="0.25">
      <c r="A168" s="15"/>
      <c r="B168" s="773"/>
      <c r="C168" s="774"/>
      <c r="D168" s="774"/>
      <c r="E168" s="774"/>
      <c r="F168" s="774"/>
      <c r="G168" s="774"/>
      <c r="H168" s="774"/>
      <c r="I168" s="774"/>
      <c r="J168" s="774"/>
      <c r="K168" s="774"/>
      <c r="L168" s="775"/>
      <c r="M168" s="182"/>
      <c r="O168" s="176"/>
      <c r="P168" s="176"/>
    </row>
    <row r="169" spans="1:16" s="3" customFormat="1" x14ac:dyDescent="0.25">
      <c r="A169" s="15"/>
      <c r="B169" s="773"/>
      <c r="C169" s="774"/>
      <c r="D169" s="774"/>
      <c r="E169" s="774"/>
      <c r="F169" s="774"/>
      <c r="G169" s="774"/>
      <c r="H169" s="774"/>
      <c r="I169" s="774"/>
      <c r="J169" s="774"/>
      <c r="K169" s="774"/>
      <c r="L169" s="775"/>
      <c r="M169" s="182"/>
      <c r="O169" s="176"/>
      <c r="P169" s="176"/>
    </row>
    <row r="170" spans="1:16" s="3" customFormat="1" x14ac:dyDescent="0.25">
      <c r="A170" s="15"/>
      <c r="B170" s="773"/>
      <c r="C170" s="774"/>
      <c r="D170" s="774"/>
      <c r="E170" s="774"/>
      <c r="F170" s="774"/>
      <c r="G170" s="774"/>
      <c r="H170" s="774"/>
      <c r="I170" s="774"/>
      <c r="J170" s="774"/>
      <c r="K170" s="774"/>
      <c r="L170" s="775"/>
      <c r="M170" s="182"/>
      <c r="O170" s="176"/>
      <c r="P170" s="176"/>
    </row>
    <row r="171" spans="1:16" s="3" customFormat="1" x14ac:dyDescent="0.25">
      <c r="A171" s="15"/>
      <c r="B171" s="773"/>
      <c r="C171" s="774"/>
      <c r="D171" s="774"/>
      <c r="E171" s="774"/>
      <c r="F171" s="774"/>
      <c r="G171" s="774"/>
      <c r="H171" s="774"/>
      <c r="I171" s="774"/>
      <c r="J171" s="774"/>
      <c r="K171" s="774"/>
      <c r="L171" s="775"/>
      <c r="M171" s="182"/>
      <c r="O171" s="176"/>
      <c r="P171" s="176"/>
    </row>
    <row r="172" spans="1:16" s="157" customFormat="1" x14ac:dyDescent="0.25">
      <c r="A172" s="200"/>
      <c r="B172" s="207"/>
      <c r="C172" s="208"/>
      <c r="D172" s="208"/>
      <c r="E172" s="208"/>
      <c r="F172" s="208"/>
      <c r="G172" s="208"/>
      <c r="H172" s="208"/>
      <c r="I172" s="208"/>
      <c r="J172" s="208"/>
      <c r="K172" s="208"/>
      <c r="L172" s="209"/>
    </row>
    <row r="173" spans="1:16" s="3" customFormat="1" x14ac:dyDescent="0.25">
      <c r="A173" s="14"/>
      <c r="B173" s="767" t="s">
        <v>35</v>
      </c>
      <c r="C173" s="768"/>
      <c r="D173" s="768"/>
      <c r="E173" s="768"/>
      <c r="F173" s="768"/>
      <c r="G173" s="768"/>
      <c r="H173" s="768"/>
      <c r="I173" s="768"/>
      <c r="J173" s="768"/>
      <c r="K173" s="768"/>
      <c r="L173" s="769"/>
      <c r="M173" s="216"/>
    </row>
    <row r="174" spans="1:16" s="157" customFormat="1" x14ac:dyDescent="0.25">
      <c r="A174" s="200"/>
      <c r="B174" s="201"/>
      <c r="C174" s="202"/>
      <c r="D174" s="202"/>
      <c r="E174" s="202"/>
      <c r="F174" s="202"/>
      <c r="G174" s="202"/>
      <c r="H174" s="202"/>
      <c r="I174" s="202"/>
      <c r="J174" s="202"/>
      <c r="K174" s="202"/>
      <c r="L174" s="203"/>
    </row>
    <row r="175" spans="1:16" s="157" customFormat="1" x14ac:dyDescent="0.25">
      <c r="A175" s="200"/>
      <c r="B175" s="672" t="str">
        <f>IF(Intro!$G$21="English",O175,P175)</f>
        <v>Fournissez les stratégies et les objectifs de votre entreprise pour les deux prochaines années en ce qui concerne les prix des marchandises. Fournir la justification et les hypothèses qui sous-tendent ces stratégies et objectifs.</v>
      </c>
      <c r="C175" s="673"/>
      <c r="D175" s="673"/>
      <c r="E175" s="673"/>
      <c r="F175" s="673"/>
      <c r="G175" s="673"/>
      <c r="H175" s="673"/>
      <c r="I175" s="673"/>
      <c r="J175" s="673"/>
      <c r="K175" s="673"/>
      <c r="L175" s="674"/>
      <c r="O175" s="157" t="s">
        <v>376</v>
      </c>
      <c r="P175" s="157" t="s">
        <v>208</v>
      </c>
    </row>
    <row r="176" spans="1:16" s="157" customFormat="1" x14ac:dyDescent="0.25">
      <c r="A176" s="200"/>
      <c r="B176" s="672"/>
      <c r="C176" s="673"/>
      <c r="D176" s="673"/>
      <c r="E176" s="673"/>
      <c r="F176" s="673"/>
      <c r="G176" s="673"/>
      <c r="H176" s="673"/>
      <c r="I176" s="673"/>
      <c r="J176" s="673"/>
      <c r="K176" s="673"/>
      <c r="L176" s="674"/>
    </row>
    <row r="177" spans="1:16" s="157" customFormat="1" x14ac:dyDescent="0.25">
      <c r="A177" s="200"/>
      <c r="B177" s="201"/>
      <c r="C177" s="202"/>
      <c r="D177" s="202"/>
      <c r="E177" s="202"/>
      <c r="F177" s="202"/>
      <c r="G177" s="202"/>
      <c r="H177" s="202"/>
      <c r="I177" s="202"/>
      <c r="J177" s="202"/>
      <c r="K177" s="202"/>
      <c r="L177" s="203"/>
    </row>
    <row r="178" spans="1:16" s="3" customFormat="1" x14ac:dyDescent="0.25">
      <c r="A178" s="15"/>
      <c r="B178" s="773"/>
      <c r="C178" s="774"/>
      <c r="D178" s="774"/>
      <c r="E178" s="774"/>
      <c r="F178" s="774"/>
      <c r="G178" s="774"/>
      <c r="H178" s="774"/>
      <c r="I178" s="774"/>
      <c r="J178" s="774"/>
      <c r="K178" s="774"/>
      <c r="L178" s="775"/>
      <c r="M178" s="182"/>
      <c r="O178" s="176"/>
      <c r="P178" s="176"/>
    </row>
    <row r="179" spans="1:16" s="3" customFormat="1" x14ac:dyDescent="0.25">
      <c r="A179" s="15"/>
      <c r="B179" s="773"/>
      <c r="C179" s="774"/>
      <c r="D179" s="774"/>
      <c r="E179" s="774"/>
      <c r="F179" s="774"/>
      <c r="G179" s="774"/>
      <c r="H179" s="774"/>
      <c r="I179" s="774"/>
      <c r="J179" s="774"/>
      <c r="K179" s="774"/>
      <c r="L179" s="775"/>
      <c r="M179" s="182"/>
      <c r="O179" s="176"/>
      <c r="P179" s="176"/>
    </row>
    <row r="180" spans="1:16" s="3" customFormat="1" x14ac:dyDescent="0.25">
      <c r="A180" s="15"/>
      <c r="B180" s="773"/>
      <c r="C180" s="774"/>
      <c r="D180" s="774"/>
      <c r="E180" s="774"/>
      <c r="F180" s="774"/>
      <c r="G180" s="774"/>
      <c r="H180" s="774"/>
      <c r="I180" s="774"/>
      <c r="J180" s="774"/>
      <c r="K180" s="774"/>
      <c r="L180" s="775"/>
      <c r="M180" s="182"/>
      <c r="O180" s="176"/>
      <c r="P180" s="176"/>
    </row>
    <row r="181" spans="1:16" s="3" customFormat="1" x14ac:dyDescent="0.25">
      <c r="A181" s="15"/>
      <c r="B181" s="773"/>
      <c r="C181" s="774"/>
      <c r="D181" s="774"/>
      <c r="E181" s="774"/>
      <c r="F181" s="774"/>
      <c r="G181" s="774"/>
      <c r="H181" s="774"/>
      <c r="I181" s="774"/>
      <c r="J181" s="774"/>
      <c r="K181" s="774"/>
      <c r="L181" s="775"/>
      <c r="M181" s="182"/>
      <c r="O181" s="176"/>
      <c r="P181" s="176"/>
    </row>
    <row r="182" spans="1:16" s="3" customFormat="1" x14ac:dyDescent="0.25">
      <c r="A182" s="15"/>
      <c r="B182" s="773"/>
      <c r="C182" s="774"/>
      <c r="D182" s="774"/>
      <c r="E182" s="774"/>
      <c r="F182" s="774"/>
      <c r="G182" s="774"/>
      <c r="H182" s="774"/>
      <c r="I182" s="774"/>
      <c r="J182" s="774"/>
      <c r="K182" s="774"/>
      <c r="L182" s="775"/>
      <c r="M182" s="182"/>
      <c r="O182" s="176"/>
      <c r="P182" s="176"/>
    </row>
    <row r="183" spans="1:16" s="3" customFormat="1" x14ac:dyDescent="0.25">
      <c r="A183" s="15"/>
      <c r="B183" s="773"/>
      <c r="C183" s="774"/>
      <c r="D183" s="774"/>
      <c r="E183" s="774"/>
      <c r="F183" s="774"/>
      <c r="G183" s="774"/>
      <c r="H183" s="774"/>
      <c r="I183" s="774"/>
      <c r="J183" s="774"/>
      <c r="K183" s="774"/>
      <c r="L183" s="775"/>
      <c r="M183" s="182"/>
      <c r="O183" s="176"/>
      <c r="P183" s="176"/>
    </row>
    <row r="184" spans="1:16" s="3" customFormat="1" x14ac:dyDescent="0.25">
      <c r="A184" s="15"/>
      <c r="B184" s="773"/>
      <c r="C184" s="774"/>
      <c r="D184" s="774"/>
      <c r="E184" s="774"/>
      <c r="F184" s="774"/>
      <c r="G184" s="774"/>
      <c r="H184" s="774"/>
      <c r="I184" s="774"/>
      <c r="J184" s="774"/>
      <c r="K184" s="774"/>
      <c r="L184" s="775"/>
      <c r="M184" s="182"/>
      <c r="O184" s="176"/>
      <c r="P184" s="176"/>
    </row>
    <row r="185" spans="1:16" s="3" customFormat="1" x14ac:dyDescent="0.25">
      <c r="A185" s="15"/>
      <c r="B185" s="773"/>
      <c r="C185" s="774"/>
      <c r="D185" s="774"/>
      <c r="E185" s="774"/>
      <c r="F185" s="774"/>
      <c r="G185" s="774"/>
      <c r="H185" s="774"/>
      <c r="I185" s="774"/>
      <c r="J185" s="774"/>
      <c r="K185" s="774"/>
      <c r="L185" s="775"/>
      <c r="M185" s="182"/>
      <c r="O185" s="176"/>
      <c r="P185" s="176"/>
    </row>
    <row r="186" spans="1:16" s="157" customFormat="1" x14ac:dyDescent="0.25">
      <c r="A186" s="200"/>
      <c r="B186" s="207"/>
      <c r="C186" s="208"/>
      <c r="D186" s="208"/>
      <c r="E186" s="208"/>
      <c r="F186" s="208"/>
      <c r="G186" s="208"/>
      <c r="H186" s="208"/>
      <c r="I186" s="208"/>
      <c r="J186" s="208"/>
      <c r="K186" s="208"/>
      <c r="L186" s="209"/>
    </row>
    <row r="187" spans="1:16" s="3" customFormat="1" x14ac:dyDescent="0.25">
      <c r="A187" s="14"/>
      <c r="B187" s="767" t="s">
        <v>36</v>
      </c>
      <c r="C187" s="768"/>
      <c r="D187" s="768"/>
      <c r="E187" s="768"/>
      <c r="F187" s="768"/>
      <c r="G187" s="768"/>
      <c r="H187" s="768"/>
      <c r="I187" s="768"/>
      <c r="J187" s="768"/>
      <c r="K187" s="768"/>
      <c r="L187" s="769"/>
      <c r="M187" s="216"/>
    </row>
    <row r="188" spans="1:16" s="157" customFormat="1" x14ac:dyDescent="0.25">
      <c r="A188" s="200"/>
      <c r="B188" s="201"/>
      <c r="C188" s="202"/>
      <c r="D188" s="202"/>
      <c r="E188" s="202"/>
      <c r="F188" s="202"/>
      <c r="G188" s="202"/>
      <c r="H188" s="202"/>
      <c r="I188" s="202"/>
      <c r="J188" s="202"/>
      <c r="K188" s="202"/>
      <c r="L188" s="203"/>
    </row>
    <row r="189" spans="1:16" s="157" customFormat="1" x14ac:dyDescent="0.25">
      <c r="A189" s="200"/>
      <c r="B189" s="672" t="str">
        <f>IF(Intro!$G$21="English",O189,P189)</f>
        <v>Fournissez les stratégies et les objectifs de votre entreprise pour les deux prochaines années en ce qui concerne les ventes à l'exportation des marchandises. Fournir la justification et les hypothèses qui sous-tendent ces stratégies et objectifs.</v>
      </c>
      <c r="C189" s="673"/>
      <c r="D189" s="673"/>
      <c r="E189" s="673"/>
      <c r="F189" s="673"/>
      <c r="G189" s="673"/>
      <c r="H189" s="673"/>
      <c r="I189" s="673"/>
      <c r="J189" s="673"/>
      <c r="K189" s="673"/>
      <c r="L189" s="674"/>
      <c r="O189" s="157" t="s">
        <v>206</v>
      </c>
      <c r="P189" s="157" t="s">
        <v>207</v>
      </c>
    </row>
    <row r="190" spans="1:16" s="157" customFormat="1" x14ac:dyDescent="0.25">
      <c r="A190" s="200"/>
      <c r="B190" s="672"/>
      <c r="C190" s="673"/>
      <c r="D190" s="673"/>
      <c r="E190" s="673"/>
      <c r="F190" s="673"/>
      <c r="G190" s="673"/>
      <c r="H190" s="673"/>
      <c r="I190" s="673"/>
      <c r="J190" s="673"/>
      <c r="K190" s="673"/>
      <c r="L190" s="674"/>
    </row>
    <row r="191" spans="1:16" s="157" customFormat="1" x14ac:dyDescent="0.25">
      <c r="A191" s="200"/>
      <c r="B191" s="201"/>
      <c r="C191" s="202"/>
      <c r="D191" s="202"/>
      <c r="E191" s="202"/>
      <c r="F191" s="202"/>
      <c r="G191" s="202"/>
      <c r="H191" s="202"/>
      <c r="I191" s="202"/>
      <c r="J191" s="202"/>
      <c r="K191" s="202"/>
      <c r="L191" s="203"/>
    </row>
    <row r="192" spans="1:16" s="3" customFormat="1" x14ac:dyDescent="0.25">
      <c r="A192" s="15"/>
      <c r="B192" s="773"/>
      <c r="C192" s="774"/>
      <c r="D192" s="774"/>
      <c r="E192" s="774"/>
      <c r="F192" s="774"/>
      <c r="G192" s="774"/>
      <c r="H192" s="774"/>
      <c r="I192" s="774"/>
      <c r="J192" s="774"/>
      <c r="K192" s="774"/>
      <c r="L192" s="775"/>
      <c r="M192" s="182"/>
      <c r="O192" s="176"/>
      <c r="P192" s="176"/>
    </row>
    <row r="193" spans="1:16" s="3" customFormat="1" x14ac:dyDescent="0.25">
      <c r="A193" s="15"/>
      <c r="B193" s="773"/>
      <c r="C193" s="774"/>
      <c r="D193" s="774"/>
      <c r="E193" s="774"/>
      <c r="F193" s="774"/>
      <c r="G193" s="774"/>
      <c r="H193" s="774"/>
      <c r="I193" s="774"/>
      <c r="J193" s="774"/>
      <c r="K193" s="774"/>
      <c r="L193" s="775"/>
      <c r="M193" s="182"/>
      <c r="O193" s="176"/>
      <c r="P193" s="176"/>
    </row>
    <row r="194" spans="1:16" s="3" customFormat="1" x14ac:dyDescent="0.25">
      <c r="A194" s="15"/>
      <c r="B194" s="773"/>
      <c r="C194" s="774"/>
      <c r="D194" s="774"/>
      <c r="E194" s="774"/>
      <c r="F194" s="774"/>
      <c r="G194" s="774"/>
      <c r="H194" s="774"/>
      <c r="I194" s="774"/>
      <c r="J194" s="774"/>
      <c r="K194" s="774"/>
      <c r="L194" s="775"/>
      <c r="M194" s="182"/>
      <c r="O194" s="176"/>
      <c r="P194" s="176"/>
    </row>
    <row r="195" spans="1:16" s="3" customFormat="1" x14ac:dyDescent="0.25">
      <c r="A195" s="15"/>
      <c r="B195" s="773"/>
      <c r="C195" s="774"/>
      <c r="D195" s="774"/>
      <c r="E195" s="774"/>
      <c r="F195" s="774"/>
      <c r="G195" s="774"/>
      <c r="H195" s="774"/>
      <c r="I195" s="774"/>
      <c r="J195" s="774"/>
      <c r="K195" s="774"/>
      <c r="L195" s="775"/>
      <c r="M195" s="182"/>
      <c r="O195" s="176"/>
      <c r="P195" s="176"/>
    </row>
    <row r="196" spans="1:16" s="3" customFormat="1" x14ac:dyDescent="0.25">
      <c r="A196" s="15"/>
      <c r="B196" s="773"/>
      <c r="C196" s="774"/>
      <c r="D196" s="774"/>
      <c r="E196" s="774"/>
      <c r="F196" s="774"/>
      <c r="G196" s="774"/>
      <c r="H196" s="774"/>
      <c r="I196" s="774"/>
      <c r="J196" s="774"/>
      <c r="K196" s="774"/>
      <c r="L196" s="775"/>
      <c r="M196" s="182"/>
      <c r="O196" s="176"/>
      <c r="P196" s="176"/>
    </row>
    <row r="197" spans="1:16" s="3" customFormat="1" x14ac:dyDescent="0.25">
      <c r="A197" s="15"/>
      <c r="B197" s="773"/>
      <c r="C197" s="774"/>
      <c r="D197" s="774"/>
      <c r="E197" s="774"/>
      <c r="F197" s="774"/>
      <c r="G197" s="774"/>
      <c r="H197" s="774"/>
      <c r="I197" s="774"/>
      <c r="J197" s="774"/>
      <c r="K197" s="774"/>
      <c r="L197" s="775"/>
      <c r="M197" s="182"/>
      <c r="O197" s="176"/>
      <c r="P197" s="176"/>
    </row>
    <row r="198" spans="1:16" s="3" customFormat="1" x14ac:dyDescent="0.25">
      <c r="A198" s="15"/>
      <c r="B198" s="773"/>
      <c r="C198" s="774"/>
      <c r="D198" s="774"/>
      <c r="E198" s="774"/>
      <c r="F198" s="774"/>
      <c r="G198" s="774"/>
      <c r="H198" s="774"/>
      <c r="I198" s="774"/>
      <c r="J198" s="774"/>
      <c r="K198" s="774"/>
      <c r="L198" s="775"/>
      <c r="M198" s="182"/>
      <c r="O198" s="176"/>
      <c r="P198" s="176"/>
    </row>
    <row r="199" spans="1:16" s="3" customFormat="1" x14ac:dyDescent="0.25">
      <c r="A199" s="15"/>
      <c r="B199" s="773"/>
      <c r="C199" s="774"/>
      <c r="D199" s="774"/>
      <c r="E199" s="774"/>
      <c r="F199" s="774"/>
      <c r="G199" s="774"/>
      <c r="H199" s="774"/>
      <c r="I199" s="774"/>
      <c r="J199" s="774"/>
      <c r="K199" s="774"/>
      <c r="L199" s="775"/>
      <c r="M199" s="182"/>
      <c r="O199" s="176"/>
      <c r="P199" s="176"/>
    </row>
    <row r="200" spans="1:16" s="157" customFormat="1" x14ac:dyDescent="0.25">
      <c r="A200" s="200"/>
      <c r="B200" s="207"/>
      <c r="C200" s="208"/>
      <c r="D200" s="208"/>
      <c r="E200" s="208"/>
      <c r="F200" s="208"/>
      <c r="G200" s="208"/>
      <c r="H200" s="208"/>
      <c r="I200" s="208"/>
      <c r="J200" s="208"/>
      <c r="K200" s="208"/>
      <c r="L200" s="209"/>
    </row>
    <row r="201" spans="1:16" s="3" customFormat="1" x14ac:dyDescent="0.25">
      <c r="A201" s="14"/>
      <c r="B201" s="218"/>
      <c r="C201" s="218"/>
      <c r="D201" s="218"/>
      <c r="E201" s="219"/>
      <c r="F201" s="219"/>
      <c r="G201" s="219"/>
      <c r="H201" s="219"/>
      <c r="I201" s="219"/>
      <c r="J201" s="219"/>
      <c r="K201" s="219"/>
      <c r="L201" s="219"/>
      <c r="M201" s="216"/>
    </row>
    <row r="202" spans="1:16" x14ac:dyDescent="0.25">
      <c r="B202" s="678" t="str">
        <f>IF(Intro!$G$21="English",O202,P202)</f>
        <v>VENTES RÉGIONALES</v>
      </c>
      <c r="C202" s="679"/>
      <c r="D202" s="679"/>
      <c r="E202" s="679"/>
      <c r="F202" s="679"/>
      <c r="G202" s="679"/>
      <c r="H202" s="679"/>
      <c r="I202" s="679"/>
      <c r="J202" s="679"/>
      <c r="K202" s="679"/>
      <c r="L202" s="680"/>
      <c r="M202" s="157"/>
      <c r="O202" s="257" t="s">
        <v>699</v>
      </c>
      <c r="P202" s="257" t="s">
        <v>700</v>
      </c>
    </row>
    <row r="203" spans="1:16" x14ac:dyDescent="0.25">
      <c r="B203" s="770" t="s">
        <v>37</v>
      </c>
      <c r="C203" s="771"/>
      <c r="D203" s="771"/>
      <c r="E203" s="771"/>
      <c r="F203" s="771"/>
      <c r="G203" s="771"/>
      <c r="H203" s="771"/>
      <c r="I203" s="771"/>
      <c r="J203" s="771"/>
      <c r="K203" s="771"/>
      <c r="L203" s="772"/>
      <c r="M203" s="2"/>
    </row>
    <row r="204" spans="1:16" s="12" customFormat="1" x14ac:dyDescent="0.25">
      <c r="A204" s="14"/>
      <c r="B204" s="31"/>
      <c r="C204" s="32"/>
      <c r="D204" s="32"/>
      <c r="E204" s="33"/>
      <c r="F204" s="33"/>
      <c r="G204" s="33"/>
      <c r="H204" s="33"/>
      <c r="I204" s="33"/>
      <c r="J204" s="33"/>
      <c r="K204" s="33"/>
      <c r="L204" s="34"/>
    </row>
    <row r="205" spans="1:16" s="12" customFormat="1" x14ac:dyDescent="0.25">
      <c r="A205" s="14"/>
      <c r="B205" s="672" t="str">
        <f>IF(Intro!$G$21="English",O205,P205)</f>
        <v>Fournissez la répartition régionale des volumes de ventes nationales des marchandises fabriquées au Canada par votre entreprise.</v>
      </c>
      <c r="C205" s="673"/>
      <c r="D205" s="673"/>
      <c r="E205" s="673"/>
      <c r="F205" s="673"/>
      <c r="G205" s="673"/>
      <c r="H205" s="673"/>
      <c r="I205" s="673"/>
      <c r="J205" s="673"/>
      <c r="K205" s="673"/>
      <c r="L205" s="674"/>
      <c r="O205" s="13" t="s">
        <v>461</v>
      </c>
      <c r="P205" s="12" t="s">
        <v>462</v>
      </c>
    </row>
    <row r="206" spans="1:16" s="12" customFormat="1" x14ac:dyDescent="0.25">
      <c r="A206" s="14"/>
      <c r="B206" s="186"/>
      <c r="C206" s="187"/>
      <c r="D206" s="32"/>
      <c r="E206" s="33"/>
      <c r="F206" s="33"/>
      <c r="G206" s="33"/>
      <c r="H206" s="33"/>
      <c r="I206" s="33"/>
      <c r="J206" s="33"/>
      <c r="K206" s="33"/>
      <c r="L206" s="34"/>
      <c r="O206" s="13"/>
    </row>
    <row r="207" spans="1:16" s="12" customFormat="1" x14ac:dyDescent="0.25">
      <c r="A207" s="14"/>
      <c r="B207" s="186"/>
      <c r="C207" s="187"/>
      <c r="F207" s="32"/>
      <c r="G207" s="831">
        <f>Variables!$B$6</f>
        <v>2022</v>
      </c>
      <c r="H207" s="831">
        <f>G207+1</f>
        <v>2023</v>
      </c>
      <c r="I207" s="831">
        <f>H207+1</f>
        <v>2024</v>
      </c>
      <c r="J207" s="831" t="str">
        <f>H144</f>
        <v>janv-sept 2024</v>
      </c>
      <c r="K207" s="831" t="str">
        <f>I144</f>
        <v>janv-sept 2025</v>
      </c>
      <c r="L207" s="211"/>
      <c r="O207" s="13"/>
    </row>
    <row r="208" spans="1:16" s="12" customFormat="1" x14ac:dyDescent="0.25">
      <c r="A208" s="14"/>
      <c r="B208" s="261"/>
      <c r="C208" s="262"/>
      <c r="F208" s="32"/>
      <c r="G208" s="831"/>
      <c r="H208" s="831"/>
      <c r="I208" s="831"/>
      <c r="J208" s="831"/>
      <c r="K208" s="831"/>
      <c r="L208" s="211"/>
      <c r="O208" s="13"/>
    </row>
    <row r="209" spans="1:16" s="157" customFormat="1" x14ac:dyDescent="0.25">
      <c r="A209" s="200"/>
      <c r="B209" s="654" t="str">
        <f>IF(Intro!$G$21="English",O209,P209)</f>
        <v>Provinces de l’Atlantique</v>
      </c>
      <c r="C209" s="655"/>
      <c r="D209" s="655"/>
      <c r="E209" s="655"/>
      <c r="F209" s="270" t="s">
        <v>192</v>
      </c>
      <c r="G209" s="276"/>
      <c r="H209" s="276"/>
      <c r="I209" s="276"/>
      <c r="J209" s="276"/>
      <c r="K209" s="276"/>
      <c r="L209" s="211"/>
      <c r="O209" s="157" t="s">
        <v>106</v>
      </c>
      <c r="P209" s="157" t="s">
        <v>107</v>
      </c>
    </row>
    <row r="210" spans="1:16" s="157" customFormat="1" x14ac:dyDescent="0.25">
      <c r="A210" s="200"/>
      <c r="B210" s="654" t="str">
        <f>IF(Intro!$G$21="English",O210,P210)</f>
        <v>Québec et Ontario</v>
      </c>
      <c r="C210" s="655"/>
      <c r="D210" s="655"/>
      <c r="E210" s="655"/>
      <c r="F210" s="270" t="s">
        <v>192</v>
      </c>
      <c r="G210" s="276"/>
      <c r="H210" s="276"/>
      <c r="I210" s="276"/>
      <c r="J210" s="276"/>
      <c r="K210" s="276"/>
      <c r="L210" s="211"/>
      <c r="O210" s="157" t="s">
        <v>105</v>
      </c>
      <c r="P210" s="157" t="s">
        <v>108</v>
      </c>
    </row>
    <row r="211" spans="1:16" s="157" customFormat="1" x14ac:dyDescent="0.25">
      <c r="A211" s="200"/>
      <c r="B211" s="654" t="str">
        <f>IF(Intro!$G$21="English",O211,P211)</f>
        <v xml:space="preserve">Manitoba et Saskatchewan </v>
      </c>
      <c r="C211" s="655"/>
      <c r="D211" s="655"/>
      <c r="E211" s="655"/>
      <c r="F211" s="270" t="s">
        <v>192</v>
      </c>
      <c r="G211" s="276"/>
      <c r="H211" s="276"/>
      <c r="I211" s="276"/>
      <c r="J211" s="276"/>
      <c r="K211" s="276"/>
      <c r="L211" s="211"/>
      <c r="O211" s="157" t="s">
        <v>104</v>
      </c>
      <c r="P211" s="157" t="s">
        <v>109</v>
      </c>
    </row>
    <row r="212" spans="1:16" s="157" customFormat="1" x14ac:dyDescent="0.25">
      <c r="A212" s="200"/>
      <c r="B212" s="654" t="str">
        <f>IF(Intro!$G$21="English",O212,P212)</f>
        <v>Alberta et Colombie-Britannique</v>
      </c>
      <c r="C212" s="655"/>
      <c r="D212" s="655"/>
      <c r="E212" s="655"/>
      <c r="F212" s="270" t="s">
        <v>192</v>
      </c>
      <c r="G212" s="276"/>
      <c r="H212" s="276"/>
      <c r="I212" s="276"/>
      <c r="J212" s="276"/>
      <c r="K212" s="276"/>
      <c r="L212" s="211"/>
      <c r="O212" s="157" t="s">
        <v>103</v>
      </c>
      <c r="P212" s="157" t="s">
        <v>110</v>
      </c>
    </row>
    <row r="213" spans="1:16" s="157" customFormat="1" x14ac:dyDescent="0.25">
      <c r="A213" s="200"/>
      <c r="B213" s="654" t="str">
        <f>IF(Intro!$G$21="English",O213,P213)</f>
        <v>Nunavut, Yukon et Territoires du Nord-Ouest</v>
      </c>
      <c r="C213" s="655"/>
      <c r="D213" s="655"/>
      <c r="E213" s="655"/>
      <c r="F213" s="270" t="s">
        <v>192</v>
      </c>
      <c r="G213" s="276"/>
      <c r="H213" s="276"/>
      <c r="I213" s="276"/>
      <c r="J213" s="276"/>
      <c r="K213" s="276"/>
      <c r="L213" s="211"/>
      <c r="O213" s="157" t="s">
        <v>102</v>
      </c>
      <c r="P213" s="157" t="s">
        <v>111</v>
      </c>
    </row>
    <row r="214" spans="1:16" s="181" customFormat="1" x14ac:dyDescent="0.25">
      <c r="A214" s="217"/>
      <c r="B214" s="654" t="str">
        <f>IF(Intro!$G$21="English",O214,P214)</f>
        <v>Non Imputé</v>
      </c>
      <c r="C214" s="655"/>
      <c r="D214" s="655"/>
      <c r="E214" s="655"/>
      <c r="F214" s="311" t="s">
        <v>192</v>
      </c>
      <c r="G214" s="288">
        <f>100-SUM(G209:G213)</f>
        <v>100</v>
      </c>
      <c r="H214" s="288">
        <f t="shared" ref="H214:I214" si="16">100-SUM(H209:H213)</f>
        <v>100</v>
      </c>
      <c r="I214" s="288">
        <f t="shared" si="16"/>
        <v>100</v>
      </c>
      <c r="J214" s="288">
        <f t="shared" ref="J214:K214" si="17">100-SUM(J209:J213)</f>
        <v>100</v>
      </c>
      <c r="K214" s="288">
        <f t="shared" si="17"/>
        <v>100</v>
      </c>
      <c r="L214" s="211"/>
      <c r="O214" s="181" t="s">
        <v>460</v>
      </c>
      <c r="P214" s="181" t="s">
        <v>631</v>
      </c>
    </row>
    <row r="215" spans="1:16" s="157" customFormat="1" x14ac:dyDescent="0.25">
      <c r="A215" s="200"/>
      <c r="B215" s="207"/>
      <c r="C215" s="208"/>
      <c r="D215" s="208"/>
      <c r="E215" s="208"/>
      <c r="F215" s="208"/>
      <c r="G215" s="208"/>
      <c r="H215" s="208"/>
      <c r="I215" s="208"/>
      <c r="J215" s="208"/>
      <c r="K215" s="208"/>
      <c r="L215" s="209"/>
    </row>
    <row r="216" spans="1:16" s="157" customFormat="1" x14ac:dyDescent="0.25">
      <c r="A216" s="200"/>
      <c r="B216" s="202"/>
      <c r="C216" s="202"/>
      <c r="D216" s="202"/>
      <c r="E216" s="202"/>
      <c r="F216" s="202"/>
      <c r="G216" s="202"/>
      <c r="H216" s="202"/>
      <c r="I216" s="202"/>
      <c r="J216" s="202"/>
      <c r="K216" s="202"/>
      <c r="L216" s="202"/>
    </row>
    <row r="217" spans="1:16" x14ac:dyDescent="0.25">
      <c r="B217" s="678" t="str">
        <f>IF(Intro!$G$21="English",O217,P217)</f>
        <v>VENTES AU CANADA DE LA PRODUCTION NATIONALE À VOS CINQ PLUS IMPORTANTS CLIENTS</v>
      </c>
      <c r="C217" s="679"/>
      <c r="D217" s="679"/>
      <c r="E217" s="679"/>
      <c r="F217" s="679"/>
      <c r="G217" s="679"/>
      <c r="H217" s="679"/>
      <c r="I217" s="679"/>
      <c r="J217" s="679"/>
      <c r="K217" s="679"/>
      <c r="L217" s="680"/>
      <c r="M217" s="157"/>
      <c r="O217" s="2" t="s">
        <v>129</v>
      </c>
      <c r="P217" s="2" t="s">
        <v>128</v>
      </c>
    </row>
    <row r="218" spans="1:16" x14ac:dyDescent="0.25">
      <c r="B218" s="770" t="s">
        <v>38</v>
      </c>
      <c r="C218" s="771"/>
      <c r="D218" s="771"/>
      <c r="E218" s="771"/>
      <c r="F218" s="771"/>
      <c r="G218" s="771"/>
      <c r="H218" s="771"/>
      <c r="I218" s="771"/>
      <c r="J218" s="771"/>
      <c r="K218" s="771"/>
      <c r="L218" s="772"/>
      <c r="M218" s="2"/>
    </row>
    <row r="219" spans="1:16" s="12" customFormat="1" x14ac:dyDescent="0.25">
      <c r="A219" s="14"/>
      <c r="B219" s="31"/>
      <c r="C219" s="32"/>
      <c r="D219" s="32"/>
      <c r="E219" s="33"/>
      <c r="F219" s="33"/>
      <c r="G219" s="33"/>
      <c r="H219" s="33"/>
      <c r="I219" s="33"/>
      <c r="J219" s="33"/>
      <c r="K219" s="33"/>
      <c r="L219" s="34"/>
    </row>
    <row r="220" spans="1:16" s="12" customFormat="1" x14ac:dyDescent="0.25">
      <c r="A220" s="14"/>
      <c r="B220" s="672" t="str">
        <f>IF(Intro!$G$21="English",O220,P220)</f>
        <v>Indiquez les cinq plus importants clients de votre entreprise pour les marchandises, par volume produit et vendu au Canada, depuis T4 - 2023.</v>
      </c>
      <c r="C220" s="673"/>
      <c r="D220" s="673"/>
      <c r="E220" s="673"/>
      <c r="F220" s="673"/>
      <c r="G220" s="673"/>
      <c r="H220" s="673"/>
      <c r="I220" s="673"/>
      <c r="J220" s="673"/>
      <c r="K220" s="673"/>
      <c r="L220" s="674"/>
      <c r="O220" s="13" t="str">
        <f>"Identify your firm's five largest accounts for the goods produced and sold in Canada, by volume since "&amp;E232&amp;"."</f>
        <v>Identify your firm's five largest accounts for the goods produced and sold in Canada, by volume since T4 - 2023.</v>
      </c>
      <c r="P220" s="12" t="str">
        <f>"Indiquez les cinq plus importants clients de votre entreprise pour les marchandises, par volume produit et vendu au Canada, depuis "&amp;E232&amp;"."</f>
        <v>Indiquez les cinq plus importants clients de votre entreprise pour les marchandises, par volume produit et vendu au Canada, depuis T4 - 2023.</v>
      </c>
    </row>
    <row r="221" spans="1:16" s="12" customFormat="1" x14ac:dyDescent="0.25">
      <c r="A221" s="14"/>
      <c r="B221" s="186"/>
      <c r="C221" s="187"/>
      <c r="D221" s="32"/>
      <c r="E221" s="33"/>
      <c r="F221" s="33"/>
      <c r="G221" s="33"/>
      <c r="H221" s="33"/>
      <c r="I221" s="33"/>
      <c r="J221" s="33"/>
      <c r="K221" s="33"/>
      <c r="L221" s="34"/>
      <c r="O221" s="13"/>
    </row>
    <row r="222" spans="1:16" s="12" customFormat="1" x14ac:dyDescent="0.25">
      <c r="A222" s="14"/>
      <c r="B222" s="267" t="str">
        <f>IF(Intro!$G$21="English",O222,P222)</f>
        <v>Client 1</v>
      </c>
      <c r="C222" s="870"/>
      <c r="D222" s="871"/>
      <c r="E222" s="871"/>
      <c r="F222" s="871"/>
      <c r="G222" s="871"/>
      <c r="H222" s="871"/>
      <c r="I222" s="871"/>
      <c r="J222" s="871"/>
      <c r="K222" s="871"/>
      <c r="L222" s="871"/>
      <c r="O222" s="13" t="s">
        <v>118</v>
      </c>
      <c r="P222" s="12" t="s">
        <v>119</v>
      </c>
    </row>
    <row r="223" spans="1:16" s="12" customFormat="1" x14ac:dyDescent="0.25">
      <c r="A223" s="14"/>
      <c r="B223" s="267" t="str">
        <f>IF(Intro!$G$21="English",O223,P223)</f>
        <v>Client 2</v>
      </c>
      <c r="C223" s="870"/>
      <c r="D223" s="871"/>
      <c r="E223" s="871"/>
      <c r="F223" s="871"/>
      <c r="G223" s="871"/>
      <c r="H223" s="871"/>
      <c r="I223" s="871"/>
      <c r="J223" s="871"/>
      <c r="K223" s="871"/>
      <c r="L223" s="871"/>
      <c r="O223" s="13" t="s">
        <v>120</v>
      </c>
      <c r="P223" s="12" t="s">
        <v>121</v>
      </c>
    </row>
    <row r="224" spans="1:16" s="12" customFormat="1" x14ac:dyDescent="0.25">
      <c r="A224" s="14"/>
      <c r="B224" s="267" t="str">
        <f>IF(Intro!$G$21="English",O224,P224)</f>
        <v>Client 3</v>
      </c>
      <c r="C224" s="870"/>
      <c r="D224" s="871"/>
      <c r="E224" s="871"/>
      <c r="F224" s="871"/>
      <c r="G224" s="871"/>
      <c r="H224" s="871"/>
      <c r="I224" s="871"/>
      <c r="J224" s="871"/>
      <c r="K224" s="871"/>
      <c r="L224" s="871"/>
      <c r="O224" s="13" t="s">
        <v>122</v>
      </c>
      <c r="P224" s="12" t="s">
        <v>123</v>
      </c>
    </row>
    <row r="225" spans="1:16" s="12" customFormat="1" x14ac:dyDescent="0.25">
      <c r="A225" s="14"/>
      <c r="B225" s="267" t="str">
        <f>IF(Intro!$G$21="English",O225,P225)</f>
        <v>Client 4</v>
      </c>
      <c r="C225" s="785"/>
      <c r="D225" s="786"/>
      <c r="E225" s="786"/>
      <c r="F225" s="786"/>
      <c r="G225" s="786"/>
      <c r="H225" s="786"/>
      <c r="I225" s="786"/>
      <c r="J225" s="786"/>
      <c r="K225" s="786"/>
      <c r="L225" s="787"/>
      <c r="O225" s="13" t="s">
        <v>124</v>
      </c>
      <c r="P225" s="12" t="s">
        <v>125</v>
      </c>
    </row>
    <row r="226" spans="1:16" s="12" customFormat="1" x14ac:dyDescent="0.25">
      <c r="A226" s="14"/>
      <c r="B226" s="267" t="str">
        <f>IF(Intro!$G$21="English",O226,P226)</f>
        <v>Client 5</v>
      </c>
      <c r="C226" s="870"/>
      <c r="D226" s="871"/>
      <c r="E226" s="871"/>
      <c r="F226" s="871"/>
      <c r="G226" s="871"/>
      <c r="H226" s="871"/>
      <c r="I226" s="871"/>
      <c r="J226" s="871"/>
      <c r="K226" s="871"/>
      <c r="L226" s="871"/>
      <c r="O226" s="13" t="s">
        <v>126</v>
      </c>
      <c r="P226" s="12" t="s">
        <v>127</v>
      </c>
    </row>
    <row r="227" spans="1:16" s="12" customFormat="1" x14ac:dyDescent="0.25">
      <c r="A227" s="14"/>
      <c r="B227" s="186"/>
      <c r="C227" s="187"/>
      <c r="D227" s="32"/>
      <c r="E227" s="33"/>
      <c r="F227" s="33"/>
      <c r="G227" s="33"/>
      <c r="H227" s="33"/>
      <c r="I227" s="33"/>
      <c r="J227" s="33"/>
      <c r="K227" s="33"/>
      <c r="L227" s="34"/>
      <c r="O227" s="13"/>
    </row>
    <row r="228" spans="1:16" x14ac:dyDescent="0.25">
      <c r="B228" s="767" t="s">
        <v>39</v>
      </c>
      <c r="C228" s="768"/>
      <c r="D228" s="768"/>
      <c r="E228" s="768"/>
      <c r="F228" s="768"/>
      <c r="G228" s="768"/>
      <c r="H228" s="768"/>
      <c r="I228" s="768"/>
      <c r="J228" s="768"/>
      <c r="K228" s="768"/>
      <c r="L228" s="769"/>
      <c r="M228" s="2"/>
    </row>
    <row r="229" spans="1:16" s="12" customFormat="1" x14ac:dyDescent="0.25">
      <c r="A229" s="14"/>
      <c r="B229" s="31"/>
      <c r="C229" s="32"/>
      <c r="D229" s="32"/>
      <c r="E229" s="33"/>
      <c r="F229" s="33"/>
      <c r="G229" s="33"/>
      <c r="H229" s="33"/>
      <c r="I229" s="33"/>
      <c r="J229" s="33"/>
      <c r="K229" s="33"/>
      <c r="L229" s="34"/>
    </row>
    <row r="230" spans="1:16" s="12" customFormat="1" x14ac:dyDescent="0.25">
      <c r="A230" s="14"/>
      <c r="B230" s="672" t="str">
        <f>IF(Intro!$G$21="English",O230,P230)</f>
        <v>Déclarez le volume et la valeur des ventes intérieures provenant de la production nationale pour chaque client indiqué ci-dessous :</v>
      </c>
      <c r="C230" s="673"/>
      <c r="D230" s="673"/>
      <c r="E230" s="673"/>
      <c r="F230" s="673"/>
      <c r="G230" s="673"/>
      <c r="H230" s="673"/>
      <c r="I230" s="673"/>
      <c r="J230" s="673"/>
      <c r="K230" s="673"/>
      <c r="L230" s="674"/>
      <c r="O230" s="13" t="s">
        <v>445</v>
      </c>
      <c r="P230" s="12" t="s">
        <v>627</v>
      </c>
    </row>
    <row r="231" spans="1:16" s="12" customFormat="1" x14ac:dyDescent="0.25">
      <c r="A231" s="14"/>
      <c r="B231" s="186"/>
      <c r="C231" s="187"/>
      <c r="D231" s="32"/>
      <c r="E231" s="33"/>
      <c r="F231" s="33"/>
      <c r="G231" s="33"/>
      <c r="H231" s="33"/>
      <c r="I231" s="33"/>
      <c r="J231" s="33"/>
      <c r="K231" s="33"/>
      <c r="L231" s="34"/>
      <c r="O231" s="13"/>
    </row>
    <row r="232" spans="1:16" s="12" customFormat="1" x14ac:dyDescent="0.25">
      <c r="A232" s="14"/>
      <c r="B232" s="274"/>
      <c r="C232" s="291"/>
      <c r="D232" s="292"/>
      <c r="E232" s="273" t="str">
        <f>IF(Intro!$G$21="English","Q","T")&amp;IF(MID(F232,2,1)&lt;&gt;"1",MID(F232,2,1)-1&amp;" - "&amp;MID(F232,6,4),"4 - "&amp;MID(F232,6,4)-1)</f>
        <v>T4 - 2023</v>
      </c>
      <c r="F232" s="273" t="str">
        <f>IF(Intro!$G$21="English","Q","T")&amp;IF(MID(G232,2,1)&lt;&gt;"1",MID(G232,2,1)-1&amp;" - "&amp;MID(G232,6,4),"4 - "&amp;MID(G232,6,4)-1)</f>
        <v>T1 - 2024</v>
      </c>
      <c r="G232" s="273" t="str">
        <f>IF(Intro!$G$21="English","Q","T")&amp;IF(MID(H232,2,1)&lt;&gt;"1",MID(H232,2,1)-1&amp;" - "&amp;MID(H232,6,4),"4 - "&amp;MID(H232,6,4)-1)</f>
        <v>T2 - 2024</v>
      </c>
      <c r="H232" s="273" t="str">
        <f>IF(Intro!$G$21="English","Q","T")&amp;IF(MID(I232,2,1)&lt;&gt;"1",MID(I232,2,1)-1&amp;" - "&amp;MID(I232,6,4),"4 - "&amp;MID(I232,6,4)-1)</f>
        <v>T3 - 2024</v>
      </c>
      <c r="I232" s="273" t="str">
        <f>IF(Intro!$G$21="English","Q","T")&amp;IF(MID(J232,2,1)&lt;&gt;"1",MID(J232,2,1)-1&amp;" - "&amp;MID(J232,6,4),"4 - "&amp;MID(J232,6,4)-1)</f>
        <v>T4 - 2024</v>
      </c>
      <c r="J232" s="273" t="str">
        <f>IF(Intro!$G$21="English","Q","T")&amp;IF(MID(K232,2,1)&lt;&gt;"1",MID(K232,2,1)-1&amp;" - "&amp;MID(K232,6,4),"4 - "&amp;MID(K232,6,4)-1)</f>
        <v>T1 - 2025</v>
      </c>
      <c r="K232" s="273" t="str">
        <f>IF(Intro!$G$21="English","Q","T")&amp;IF(MID(L232,2,1)&lt;&gt;"1",MID(L232,2,1)-1&amp;" - "&amp;MID(L232,6,4),"4 - "&amp;MID(L232,6,4)-1)</f>
        <v>T2 - 2025</v>
      </c>
      <c r="L232" s="287" t="str">
        <f>IF(Intro!$G$21="English",Variables!B30&amp;" - ",Variables!C30&amp;" - ")&amp;Variables!B8</f>
        <v>T3 - 2025</v>
      </c>
      <c r="O232" s="13"/>
    </row>
    <row r="233" spans="1:16" s="12" customFormat="1" x14ac:dyDescent="0.25">
      <c r="A233" s="14"/>
      <c r="B233" s="840" t="str">
        <f>IF(Intro!$G$21="English",O233,P233)</f>
        <v xml:space="preserve">Client 1 - </v>
      </c>
      <c r="C233" s="841"/>
      <c r="D233" s="841"/>
      <c r="E233" s="841"/>
      <c r="F233" s="841"/>
      <c r="G233" s="841"/>
      <c r="H233" s="841"/>
      <c r="I233" s="841"/>
      <c r="J233" s="841"/>
      <c r="K233" s="841"/>
      <c r="L233" s="842"/>
      <c r="O233" s="157" t="str">
        <f>"Account 1 - "&amp;$C222</f>
        <v xml:space="preserve">Account 1 - </v>
      </c>
      <c r="P233" s="157" t="str">
        <f>"Client 1 - "&amp;$C222</f>
        <v xml:space="preserve">Client 1 - </v>
      </c>
    </row>
    <row r="234" spans="1:16" s="157" customFormat="1" x14ac:dyDescent="0.25">
      <c r="A234" s="200"/>
      <c r="B234" s="835" t="str">
        <f>IF(Intro!$G$21="English",Variables!$B$23,Variables!$C$23)</f>
        <v>pièces</v>
      </c>
      <c r="C234" s="839"/>
      <c r="D234" s="839"/>
      <c r="E234" s="276"/>
      <c r="F234" s="276"/>
      <c r="G234" s="276"/>
      <c r="H234" s="276"/>
      <c r="I234" s="276"/>
      <c r="J234" s="276"/>
      <c r="K234" s="276"/>
      <c r="L234" s="290"/>
    </row>
    <row r="235" spans="1:16" s="157" customFormat="1" x14ac:dyDescent="0.25">
      <c r="A235" s="200"/>
      <c r="B235" s="837" t="str">
        <f>IF(Intro!G$21="English","net delivered selling value (CAD)","valeur de vente nette rendue (CAD)")</f>
        <v>valeur de vente nette rendue (CAD)</v>
      </c>
      <c r="C235" s="836"/>
      <c r="D235" s="836"/>
      <c r="E235" s="276"/>
      <c r="F235" s="276"/>
      <c r="G235" s="276"/>
      <c r="H235" s="276"/>
      <c r="I235" s="276"/>
      <c r="J235" s="276"/>
      <c r="K235" s="276"/>
      <c r="L235" s="290"/>
    </row>
    <row r="236" spans="1:16" s="157" customFormat="1" x14ac:dyDescent="0.25">
      <c r="A236" s="200"/>
      <c r="B236" s="835" t="str">
        <f>"$ / "&amp;IF(Intro!$G$21="English",Variables!$B$24,Variables!$C$24)</f>
        <v>$ / pièce</v>
      </c>
      <c r="C236" s="836"/>
      <c r="D236" s="836"/>
      <c r="E236" s="329" t="str">
        <f>IF(E234=0,"-",E235/E234)</f>
        <v>-</v>
      </c>
      <c r="F236" s="329" t="str">
        <f>IF(F234=0,"-",F235/F234)</f>
        <v>-</v>
      </c>
      <c r="G236" s="329" t="str">
        <f>IF(G234=0,"-",G235/G234)</f>
        <v>-</v>
      </c>
      <c r="H236" s="329" t="str">
        <f t="shared" ref="H236:L236" si="18">IF(H234=0,"-",H235/H234)</f>
        <v>-</v>
      </c>
      <c r="I236" s="329" t="str">
        <f t="shared" si="18"/>
        <v>-</v>
      </c>
      <c r="J236" s="329" t="str">
        <f t="shared" si="18"/>
        <v>-</v>
      </c>
      <c r="K236" s="329" t="str">
        <f t="shared" si="18"/>
        <v>-</v>
      </c>
      <c r="L236" s="330" t="str">
        <f t="shared" si="18"/>
        <v>-</v>
      </c>
    </row>
    <row r="237" spans="1:16" s="157" customFormat="1" x14ac:dyDescent="0.25">
      <c r="A237" s="200"/>
      <c r="B237" s="840" t="str">
        <f>IF(Intro!$G$21="English",O237,P237)</f>
        <v xml:space="preserve">Client 2 - </v>
      </c>
      <c r="C237" s="841"/>
      <c r="D237" s="841"/>
      <c r="E237" s="841"/>
      <c r="F237" s="841"/>
      <c r="G237" s="841"/>
      <c r="H237" s="841"/>
      <c r="I237" s="841"/>
      <c r="J237" s="841"/>
      <c r="K237" s="841"/>
      <c r="L237" s="842"/>
      <c r="O237" s="157" t="str">
        <f>"Account 2 - "&amp;$C223</f>
        <v xml:space="preserve">Account 2 - </v>
      </c>
      <c r="P237" s="157" t="str">
        <f>"Client 2 - "&amp;$C223</f>
        <v xml:space="preserve">Client 2 - </v>
      </c>
    </row>
    <row r="238" spans="1:16" s="157" customFormat="1" x14ac:dyDescent="0.25">
      <c r="A238" s="200"/>
      <c r="B238" s="835" t="str">
        <f>IF(Intro!$G$21="English",Variables!$B$23,Variables!$C$23)</f>
        <v>pièces</v>
      </c>
      <c r="C238" s="839"/>
      <c r="D238" s="839"/>
      <c r="E238" s="276"/>
      <c r="F238" s="276"/>
      <c r="G238" s="276"/>
      <c r="H238" s="276"/>
      <c r="I238" s="276"/>
      <c r="J238" s="276"/>
      <c r="K238" s="276"/>
      <c r="L238" s="290"/>
    </row>
    <row r="239" spans="1:16" s="157" customFormat="1" x14ac:dyDescent="0.25">
      <c r="A239" s="200"/>
      <c r="B239" s="837" t="str">
        <f>IF(Intro!G$21="English","net delivered selling value (CAD)","valeur de vente nette rendue (CAD)")</f>
        <v>valeur de vente nette rendue (CAD)</v>
      </c>
      <c r="C239" s="836"/>
      <c r="D239" s="836"/>
      <c r="E239" s="276"/>
      <c r="F239" s="276"/>
      <c r="G239" s="276"/>
      <c r="H239" s="276"/>
      <c r="I239" s="276"/>
      <c r="J239" s="276"/>
      <c r="K239" s="276"/>
      <c r="L239" s="290"/>
    </row>
    <row r="240" spans="1:16" s="157" customFormat="1" x14ac:dyDescent="0.25">
      <c r="A240" s="200"/>
      <c r="B240" s="835" t="str">
        <f>"$ / "&amp;IF(Intro!$G$21="English",Variables!$B$24,Variables!$C$24)</f>
        <v>$ / pièce</v>
      </c>
      <c r="C240" s="836"/>
      <c r="D240" s="836"/>
      <c r="E240" s="329" t="str">
        <f>IF(E238=0,"-",E239/E238)</f>
        <v>-</v>
      </c>
      <c r="F240" s="329" t="str">
        <f t="shared" ref="F240:L240" si="19">IF(F238=0,"-",F239/F238)</f>
        <v>-</v>
      </c>
      <c r="G240" s="329" t="str">
        <f t="shared" si="19"/>
        <v>-</v>
      </c>
      <c r="H240" s="329" t="str">
        <f t="shared" si="19"/>
        <v>-</v>
      </c>
      <c r="I240" s="329" t="str">
        <f t="shared" si="19"/>
        <v>-</v>
      </c>
      <c r="J240" s="329" t="str">
        <f t="shared" si="19"/>
        <v>-</v>
      </c>
      <c r="K240" s="329" t="str">
        <f t="shared" si="19"/>
        <v>-</v>
      </c>
      <c r="L240" s="330" t="str">
        <f t="shared" si="19"/>
        <v>-</v>
      </c>
    </row>
    <row r="241" spans="1:19" s="157" customFormat="1" x14ac:dyDescent="0.25">
      <c r="A241" s="200"/>
      <c r="B241" s="840" t="str">
        <f>IF(Intro!$G$21="English",O241,P241)</f>
        <v xml:space="preserve">Client 3 - </v>
      </c>
      <c r="C241" s="841"/>
      <c r="D241" s="841"/>
      <c r="E241" s="841"/>
      <c r="F241" s="841"/>
      <c r="G241" s="841"/>
      <c r="H241" s="841"/>
      <c r="I241" s="841"/>
      <c r="J241" s="841"/>
      <c r="K241" s="841"/>
      <c r="L241" s="842"/>
      <c r="O241" s="157" t="str">
        <f>"Account 3 - "&amp;$C224</f>
        <v xml:space="preserve">Account 3 - </v>
      </c>
      <c r="P241" s="157" t="str">
        <f>"Client 3 - "&amp;$C224</f>
        <v xml:space="preserve">Client 3 - </v>
      </c>
    </row>
    <row r="242" spans="1:19" s="157" customFormat="1" x14ac:dyDescent="0.25">
      <c r="A242" s="200"/>
      <c r="B242" s="835" t="str">
        <f>IF(Intro!$G$21="English",Variables!$B$23,Variables!$C$23)</f>
        <v>pièces</v>
      </c>
      <c r="C242" s="839"/>
      <c r="D242" s="839"/>
      <c r="E242" s="276"/>
      <c r="F242" s="276"/>
      <c r="G242" s="276"/>
      <c r="H242" s="276"/>
      <c r="I242" s="276"/>
      <c r="J242" s="276"/>
      <c r="K242" s="276"/>
      <c r="L242" s="290"/>
    </row>
    <row r="243" spans="1:19" s="157" customFormat="1" x14ac:dyDescent="0.25">
      <c r="A243" s="200"/>
      <c r="B243" s="837" t="str">
        <f>IF(Intro!G$21="English","net delivered selling value (CAD)","valeur de vente nette rendue (CAD)")</f>
        <v>valeur de vente nette rendue (CAD)</v>
      </c>
      <c r="C243" s="836"/>
      <c r="D243" s="836"/>
      <c r="E243" s="276"/>
      <c r="F243" s="276"/>
      <c r="G243" s="276"/>
      <c r="H243" s="276"/>
      <c r="I243" s="276"/>
      <c r="J243" s="276"/>
      <c r="K243" s="276"/>
      <c r="L243" s="290"/>
    </row>
    <row r="244" spans="1:19" s="157" customFormat="1" x14ac:dyDescent="0.25">
      <c r="A244" s="200"/>
      <c r="B244" s="835" t="str">
        <f>"$ / "&amp;IF(Intro!$G$21="English",Variables!$B$24,Variables!$C$24)</f>
        <v>$ / pièce</v>
      </c>
      <c r="C244" s="836"/>
      <c r="D244" s="836"/>
      <c r="E244" s="329" t="str">
        <f>IF(E242=0,"-",E243/E242)</f>
        <v>-</v>
      </c>
      <c r="F244" s="329" t="str">
        <f t="shared" ref="F244:L244" si="20">IF(F242=0,"-",F243/F242)</f>
        <v>-</v>
      </c>
      <c r="G244" s="329" t="str">
        <f t="shared" si="20"/>
        <v>-</v>
      </c>
      <c r="H244" s="329" t="str">
        <f t="shared" si="20"/>
        <v>-</v>
      </c>
      <c r="I244" s="329" t="str">
        <f t="shared" si="20"/>
        <v>-</v>
      </c>
      <c r="J244" s="329" t="str">
        <f t="shared" si="20"/>
        <v>-</v>
      </c>
      <c r="K244" s="329" t="str">
        <f t="shared" si="20"/>
        <v>-</v>
      </c>
      <c r="L244" s="330" t="str">
        <f t="shared" si="20"/>
        <v>-</v>
      </c>
    </row>
    <row r="245" spans="1:19" s="157" customFormat="1" x14ac:dyDescent="0.25">
      <c r="A245" s="200"/>
      <c r="B245" s="840" t="str">
        <f>IF(Intro!$G$21="English",O245,P245)</f>
        <v xml:space="preserve">Client 4 - </v>
      </c>
      <c r="C245" s="841"/>
      <c r="D245" s="841"/>
      <c r="E245" s="841"/>
      <c r="F245" s="841"/>
      <c r="G245" s="841"/>
      <c r="H245" s="841"/>
      <c r="I245" s="841"/>
      <c r="J245" s="841"/>
      <c r="K245" s="841"/>
      <c r="L245" s="842"/>
      <c r="O245" s="157" t="str">
        <f>"Account 4 - "&amp;$C225</f>
        <v xml:space="preserve">Account 4 - </v>
      </c>
      <c r="P245" s="157" t="str">
        <f>"Client 4 - "&amp;$C225</f>
        <v xml:space="preserve">Client 4 - </v>
      </c>
    </row>
    <row r="246" spans="1:19" s="157" customFormat="1" x14ac:dyDescent="0.25">
      <c r="A246" s="200"/>
      <c r="B246" s="835" t="str">
        <f>IF(Intro!$G$21="English",Variables!$B$23,Variables!$C$23)</f>
        <v>pièces</v>
      </c>
      <c r="C246" s="839"/>
      <c r="D246" s="839"/>
      <c r="E246" s="276"/>
      <c r="F246" s="276"/>
      <c r="G246" s="276"/>
      <c r="H246" s="276"/>
      <c r="I246" s="276"/>
      <c r="J246" s="276"/>
      <c r="K246" s="276"/>
      <c r="L246" s="290"/>
    </row>
    <row r="247" spans="1:19" s="157" customFormat="1" x14ac:dyDescent="0.25">
      <c r="A247" s="200"/>
      <c r="B247" s="837" t="str">
        <f>IF(Intro!G$21="English","net delivered selling value (CAD)","valeur de vente nette rendue (CAD)")</f>
        <v>valeur de vente nette rendue (CAD)</v>
      </c>
      <c r="C247" s="836"/>
      <c r="D247" s="836"/>
      <c r="E247" s="276"/>
      <c r="F247" s="276"/>
      <c r="G247" s="276"/>
      <c r="H247" s="276"/>
      <c r="I247" s="276"/>
      <c r="J247" s="276"/>
      <c r="K247" s="276"/>
      <c r="L247" s="290"/>
    </row>
    <row r="248" spans="1:19" s="157" customFormat="1" x14ac:dyDescent="0.25">
      <c r="A248" s="200"/>
      <c r="B248" s="835" t="str">
        <f>"$ / "&amp;IF(Intro!$G$21="English",Variables!$B$24,Variables!$C$24)</f>
        <v>$ / pièce</v>
      </c>
      <c r="C248" s="836"/>
      <c r="D248" s="836"/>
      <c r="E248" s="329" t="str">
        <f>IF(E246=0,"-",E247/E246)</f>
        <v>-</v>
      </c>
      <c r="F248" s="329" t="str">
        <f t="shared" ref="F248:L248" si="21">IF(F246=0,"-",F247/F246)</f>
        <v>-</v>
      </c>
      <c r="G248" s="329" t="str">
        <f t="shared" si="21"/>
        <v>-</v>
      </c>
      <c r="H248" s="329" t="str">
        <f t="shared" si="21"/>
        <v>-</v>
      </c>
      <c r="I248" s="329" t="str">
        <f t="shared" si="21"/>
        <v>-</v>
      </c>
      <c r="J248" s="329" t="str">
        <f t="shared" si="21"/>
        <v>-</v>
      </c>
      <c r="K248" s="329" t="str">
        <f t="shared" si="21"/>
        <v>-</v>
      </c>
      <c r="L248" s="330" t="str">
        <f t="shared" si="21"/>
        <v>-</v>
      </c>
    </row>
    <row r="249" spans="1:19" s="157" customFormat="1" x14ac:dyDescent="0.25">
      <c r="A249" s="200"/>
      <c r="B249" s="840" t="str">
        <f>IF(Intro!$G$21="English",O249,P249)</f>
        <v xml:space="preserve">Client 5 - </v>
      </c>
      <c r="C249" s="841"/>
      <c r="D249" s="841"/>
      <c r="E249" s="841"/>
      <c r="F249" s="841"/>
      <c r="G249" s="841"/>
      <c r="H249" s="841"/>
      <c r="I249" s="841"/>
      <c r="J249" s="841"/>
      <c r="K249" s="841"/>
      <c r="L249" s="842"/>
      <c r="O249" s="157" t="str">
        <f>"Account 5 - "&amp;$C226</f>
        <v xml:space="preserve">Account 5 - </v>
      </c>
      <c r="P249" s="157" t="str">
        <f>"Client 5 - "&amp;$C226</f>
        <v xml:space="preserve">Client 5 - </v>
      </c>
    </row>
    <row r="250" spans="1:19" s="157" customFormat="1" x14ac:dyDescent="0.25">
      <c r="A250" s="200"/>
      <c r="B250" s="835" t="str">
        <f>IF(Intro!$G$21="English",Variables!$B$23,Variables!$C$23)</f>
        <v>pièces</v>
      </c>
      <c r="C250" s="839"/>
      <c r="D250" s="839"/>
      <c r="E250" s="276"/>
      <c r="F250" s="276"/>
      <c r="G250" s="276"/>
      <c r="H250" s="276"/>
      <c r="I250" s="276"/>
      <c r="J250" s="276"/>
      <c r="K250" s="276"/>
      <c r="L250" s="290"/>
    </row>
    <row r="251" spans="1:19" s="157" customFormat="1" x14ac:dyDescent="0.25">
      <c r="A251" s="200"/>
      <c r="B251" s="837" t="str">
        <f>IF(Intro!G$21="English","net delivered selling value (CAD)","valeur de vente nette rendue (CAD)")</f>
        <v>valeur de vente nette rendue (CAD)</v>
      </c>
      <c r="C251" s="836"/>
      <c r="D251" s="836"/>
      <c r="E251" s="276"/>
      <c r="F251" s="276"/>
      <c r="G251" s="276"/>
      <c r="H251" s="276"/>
      <c r="I251" s="276"/>
      <c r="J251" s="276"/>
      <c r="K251" s="276"/>
      <c r="L251" s="290"/>
    </row>
    <row r="252" spans="1:19" s="157" customFormat="1" x14ac:dyDescent="0.25">
      <c r="A252" s="200"/>
      <c r="B252" s="835" t="str">
        <f>"$ / "&amp;IF(Intro!$G$21="English",Variables!$B$24,Variables!$C$24)</f>
        <v>$ / pièce</v>
      </c>
      <c r="C252" s="836"/>
      <c r="D252" s="836"/>
      <c r="E252" s="329" t="str">
        <f>IF(E250=0,"-",E251/E250)</f>
        <v>-</v>
      </c>
      <c r="F252" s="329" t="str">
        <f t="shared" ref="F252:L252" si="22">IF(F250=0,"-",F251/F250)</f>
        <v>-</v>
      </c>
      <c r="G252" s="329" t="str">
        <f t="shared" si="22"/>
        <v>-</v>
      </c>
      <c r="H252" s="329" t="str">
        <f t="shared" si="22"/>
        <v>-</v>
      </c>
      <c r="I252" s="329" t="str">
        <f t="shared" si="22"/>
        <v>-</v>
      </c>
      <c r="J252" s="329" t="str">
        <f t="shared" si="22"/>
        <v>-</v>
      </c>
      <c r="K252" s="329" t="str">
        <f t="shared" si="22"/>
        <v>-</v>
      </c>
      <c r="L252" s="330" t="str">
        <f t="shared" si="22"/>
        <v>-</v>
      </c>
    </row>
    <row r="253" spans="1:19" s="157" customFormat="1" x14ac:dyDescent="0.25">
      <c r="A253" s="200"/>
      <c r="B253" s="261"/>
      <c r="C253" s="262"/>
      <c r="D253" s="262"/>
      <c r="E253" s="39"/>
      <c r="F253" s="39"/>
      <c r="G253" s="39"/>
      <c r="H253" s="39"/>
      <c r="I253" s="39"/>
      <c r="J253" s="39"/>
      <c r="K253" s="39"/>
      <c r="L253" s="40"/>
    </row>
    <row r="254" spans="1:19" s="157" customFormat="1" x14ac:dyDescent="0.25">
      <c r="A254" s="200"/>
      <c r="B254" s="672" t="str">
        <f>IF(Intro!$G$21="English",O254,P254)</f>
        <v>Dans le tableau ci-dessous, « Erreur » signifie que le total des ventes des cinq principaux clients de votre entreprise pour cette période dépasse le total des ventes nationales de votre entreprise pour cette période. Par conséquent, veuillez modifier les données ci-dessus.</v>
      </c>
      <c r="C254" s="673"/>
      <c r="D254" s="673"/>
      <c r="E254" s="673"/>
      <c r="F254" s="673"/>
      <c r="G254" s="673"/>
      <c r="H254" s="673"/>
      <c r="I254" s="673"/>
      <c r="J254" s="673"/>
      <c r="K254" s="673"/>
      <c r="L254" s="674"/>
      <c r="O254" s="157" t="s">
        <v>443</v>
      </c>
      <c r="P254" s="157" t="s">
        <v>632</v>
      </c>
      <c r="Q254" s="182"/>
      <c r="R254" s="182"/>
      <c r="S254" s="182"/>
    </row>
    <row r="255" spans="1:19" s="157" customFormat="1" x14ac:dyDescent="0.25">
      <c r="A255" s="200"/>
      <c r="B255" s="672"/>
      <c r="C255" s="673"/>
      <c r="D255" s="673"/>
      <c r="E255" s="673"/>
      <c r="F255" s="673"/>
      <c r="G255" s="673"/>
      <c r="H255" s="673"/>
      <c r="I255" s="673"/>
      <c r="J255" s="673"/>
      <c r="K255" s="673"/>
      <c r="L255" s="674"/>
      <c r="Q255" s="182"/>
      <c r="R255" s="182"/>
      <c r="S255" s="182"/>
    </row>
    <row r="256" spans="1:19" s="157" customFormat="1" x14ac:dyDescent="0.25">
      <c r="A256" s="200"/>
      <c r="B256" s="186"/>
      <c r="C256" s="187"/>
      <c r="D256" s="187"/>
      <c r="E256" s="39"/>
      <c r="F256" s="39"/>
      <c r="G256" s="39"/>
      <c r="H256" s="39"/>
      <c r="I256" s="39"/>
      <c r="J256" s="39"/>
      <c r="K256" s="39"/>
      <c r="L256" s="40"/>
      <c r="Q256" s="182"/>
      <c r="R256" s="182"/>
      <c r="S256" s="182"/>
    </row>
    <row r="257" spans="1:16" s="12" customFormat="1" ht="28.5" x14ac:dyDescent="0.25">
      <c r="A257" s="14" t="s">
        <v>896</v>
      </c>
      <c r="B257" s="186"/>
      <c r="C257" s="187"/>
      <c r="D257" s="32"/>
      <c r="F257" s="628">
        <f>H207</f>
        <v>2023</v>
      </c>
      <c r="G257" s="628">
        <f>I207</f>
        <v>2024</v>
      </c>
      <c r="H257" s="628" t="str">
        <f>J207</f>
        <v>janv-sept 2024</v>
      </c>
      <c r="I257" s="628" t="str">
        <f>K207</f>
        <v>janv-sept 2025</v>
      </c>
      <c r="J257" s="335"/>
      <c r="K257" s="335"/>
      <c r="L257" s="336"/>
      <c r="O257" s="157" t="s">
        <v>740</v>
      </c>
      <c r="P257" s="157" t="s">
        <v>741</v>
      </c>
    </row>
    <row r="258" spans="1:16" s="157" customFormat="1" x14ac:dyDescent="0.25">
      <c r="A258" s="200"/>
      <c r="B258" s="650" t="str">
        <f>Variables!D42</f>
        <v>Vérification</v>
      </c>
      <c r="C258" s="853" t="str">
        <f>IF(Intro!$G$21="English",Variables!$B$23,Variables!$C$23)</f>
        <v>pièces</v>
      </c>
      <c r="D258" s="853"/>
      <c r="E258" s="853"/>
      <c r="F258" s="293" t="str">
        <f>IF(SUM(E234,E238,E242,E246,E250)&gt;SUM(I29,I32,I35),Variables!D$43,Variables!D$44)</f>
        <v>Correct</v>
      </c>
      <c r="G258" s="293" t="str">
        <f>IF(SUM(F234:I234,F238:I238,F242:I242,F246:I246,F250:I250)&gt;SUM(J29,J32,J35),Variables!D$43,Variables!D$44)</f>
        <v>Correct</v>
      </c>
      <c r="H258" s="293" t="str">
        <f>IF(SUM(F234:H234,F238:H238,F242:H242,F246:H246,F250:H250)&gt;SUM(K29,K32,K35),Variables!D$43,Variables!D$44)</f>
        <v>Correct</v>
      </c>
      <c r="I258" s="293" t="str">
        <f>IF(SUM(J234:L234,J238:L238,J242:L242,J246:L246,J250:L250)&gt;SUM(L29,L32,L35),Variables!D$43,Variables!D$44)</f>
        <v>Correct</v>
      </c>
      <c r="J258" s="210"/>
      <c r="K258" s="210"/>
      <c r="L258" s="211"/>
    </row>
    <row r="259" spans="1:16" s="157" customFormat="1" x14ac:dyDescent="0.25">
      <c r="A259" s="200"/>
      <c r="B259" s="650"/>
      <c r="C259" s="854" t="str">
        <f>IF(Intro!G$21="English","net delivered selling value (CAD)","valeur de vente nette rendue (CAD)")</f>
        <v>valeur de vente nette rendue (CAD)</v>
      </c>
      <c r="D259" s="854"/>
      <c r="E259" s="854"/>
      <c r="F259" s="293" t="str">
        <f>IF(SUM(E235,E239,E243,E247,E251)&gt;SUM(I30,I33,I36),Variables!D$43,Variables!D$44)</f>
        <v>Correct</v>
      </c>
      <c r="G259" s="293" t="str">
        <f>IF(SUM(F235:I235,F239:I239,F243:I243,F247:I247,F251:I251)&gt;SUM(J30,J33,J36),Variables!D$43,Variables!D$44)</f>
        <v>Correct</v>
      </c>
      <c r="H259" s="293" t="str">
        <f>IF(SUM(F235:H235,F239:H239,F243:H243,F247:H247,F251:H251)&gt;SUM(K30,K33,K36),Variables!D$43,Variables!D$44)</f>
        <v>Correct</v>
      </c>
      <c r="I259" s="293" t="str">
        <f>IF(SUM(J235:L235,J239:L239,J243:L243,J247:L247,J251:L251)&gt;SUM(L30,L33,L36),Variables!D$43,Variables!D$44)</f>
        <v>Correct</v>
      </c>
      <c r="J259" s="210"/>
      <c r="K259" s="210"/>
      <c r="L259" s="211"/>
    </row>
    <row r="260" spans="1:16" s="157" customFormat="1" x14ac:dyDescent="0.25">
      <c r="A260" s="200"/>
      <c r="B260" s="207"/>
      <c r="C260" s="208"/>
      <c r="D260" s="208"/>
      <c r="E260" s="208"/>
      <c r="F260" s="208"/>
      <c r="G260" s="208"/>
      <c r="H260" s="208"/>
      <c r="I260" s="208"/>
      <c r="J260" s="208"/>
      <c r="K260" s="208"/>
      <c r="L260" s="209"/>
    </row>
    <row r="261" spans="1:16" s="3" customFormat="1" x14ac:dyDescent="0.25">
      <c r="A261" s="14"/>
      <c r="B261" s="41"/>
      <c r="C261" s="41"/>
      <c r="D261" s="218"/>
      <c r="E261" s="219"/>
      <c r="F261" s="219"/>
      <c r="G261" s="219"/>
      <c r="H261" s="219"/>
      <c r="I261" s="219"/>
      <c r="J261" s="219"/>
      <c r="K261" s="219"/>
      <c r="L261" s="219"/>
      <c r="M261" s="216"/>
    </row>
    <row r="262" spans="1:16" x14ac:dyDescent="0.25">
      <c r="B262" s="678" t="str">
        <f>IF(Intro!$G$21="English",O262,P262)</f>
        <v>VENTES AU CANADA DE LA PRODUCTION NATIONALE DE PRODUITS DE RÉFÉRENCE</v>
      </c>
      <c r="C262" s="679"/>
      <c r="D262" s="679"/>
      <c r="E262" s="679"/>
      <c r="F262" s="679"/>
      <c r="G262" s="679"/>
      <c r="H262" s="679"/>
      <c r="I262" s="679"/>
      <c r="J262" s="679"/>
      <c r="K262" s="679"/>
      <c r="L262" s="680"/>
      <c r="M262" s="157"/>
      <c r="O262" s="2" t="s">
        <v>743</v>
      </c>
      <c r="P262" s="2" t="s">
        <v>744</v>
      </c>
    </row>
    <row r="263" spans="1:16" x14ac:dyDescent="0.25">
      <c r="B263" s="770" t="s">
        <v>309</v>
      </c>
      <c r="C263" s="771"/>
      <c r="D263" s="771"/>
      <c r="E263" s="771"/>
      <c r="F263" s="771"/>
      <c r="G263" s="771"/>
      <c r="H263" s="771"/>
      <c r="I263" s="771"/>
      <c r="J263" s="771"/>
      <c r="K263" s="771"/>
      <c r="L263" s="772"/>
      <c r="M263" s="2"/>
    </row>
    <row r="264" spans="1:16" s="12" customFormat="1" x14ac:dyDescent="0.25">
      <c r="A264" s="14"/>
      <c r="B264" s="31"/>
      <c r="C264" s="32"/>
      <c r="D264" s="32"/>
      <c r="E264" s="33"/>
      <c r="F264" s="33"/>
      <c r="G264" s="33"/>
      <c r="H264" s="33"/>
      <c r="I264" s="33"/>
      <c r="J264" s="33"/>
      <c r="K264" s="33"/>
      <c r="L264" s="34"/>
    </row>
    <row r="265" spans="1:16" s="12" customFormat="1" ht="28.5" x14ac:dyDescent="0.25">
      <c r="A265" s="14" t="s">
        <v>896</v>
      </c>
      <c r="B265" s="672" t="str">
        <f>IF(Intro!$G$21="English",O265,P265)</f>
        <v>Indiquez le volume et la valeur des ventes intérieures provenant de la production nationale pour chaque produit de référence. **Notez que le terme « emballage » fait référence à la taille de l’emballage pour la vente individuelle, quel que soit le nombre d’emballages qui peuvent être regroupés dans une plus grande quantité (comme un carton ou une palette) lors de la vente par le fournisseur.</v>
      </c>
      <c r="C265" s="673"/>
      <c r="D265" s="673"/>
      <c r="E265" s="673"/>
      <c r="F265" s="673"/>
      <c r="G265" s="673"/>
      <c r="H265" s="673"/>
      <c r="I265" s="673"/>
      <c r="J265" s="673"/>
      <c r="K265" s="673"/>
      <c r="L265" s="674"/>
      <c r="O265" s="13" t="s">
        <v>947</v>
      </c>
      <c r="P265" s="12" t="s">
        <v>948</v>
      </c>
    </row>
    <row r="266" spans="1:16" s="12" customFormat="1" x14ac:dyDescent="0.25">
      <c r="A266" s="14"/>
      <c r="B266" s="186"/>
      <c r="C266" s="187"/>
      <c r="D266" s="32"/>
      <c r="E266" s="33"/>
      <c r="F266" s="33"/>
      <c r="G266" s="33"/>
      <c r="H266" s="33"/>
      <c r="I266" s="33"/>
      <c r="J266" s="33"/>
      <c r="K266" s="33"/>
      <c r="L266" s="34"/>
      <c r="O266" s="13"/>
    </row>
    <row r="267" spans="1:16" s="12" customFormat="1" x14ac:dyDescent="0.25">
      <c r="A267" s="14"/>
      <c r="B267" s="274"/>
      <c r="C267" s="291"/>
      <c r="D267" s="292"/>
      <c r="E267" s="273" t="str">
        <f>E232</f>
        <v>T4 - 2023</v>
      </c>
      <c r="F267" s="273" t="str">
        <f t="shared" ref="F267:L267" si="23">F232</f>
        <v>T1 - 2024</v>
      </c>
      <c r="G267" s="273" t="str">
        <f t="shared" si="23"/>
        <v>T2 - 2024</v>
      </c>
      <c r="H267" s="273" t="str">
        <f t="shared" si="23"/>
        <v>T3 - 2024</v>
      </c>
      <c r="I267" s="273" t="str">
        <f t="shared" si="23"/>
        <v>T4 - 2024</v>
      </c>
      <c r="J267" s="273" t="str">
        <f t="shared" si="23"/>
        <v>T1 - 2025</v>
      </c>
      <c r="K267" s="273" t="str">
        <f t="shared" si="23"/>
        <v>T2 - 2025</v>
      </c>
      <c r="L267" s="287" t="str">
        <f t="shared" si="23"/>
        <v>T3 - 2025</v>
      </c>
      <c r="O267" s="13"/>
    </row>
    <row r="268" spans="1:16" s="12" customFormat="1" x14ac:dyDescent="0.25">
      <c r="A268" s="14"/>
      <c r="B268" s="840" t="str">
        <f>IF(Intro!$G$21="English",O270,P270)</f>
        <v>N° 1 - Assiette ronde (diamètre de 6 à 7 po inclusivement), emballage de 10 à 20 pièces</v>
      </c>
      <c r="C268" s="841"/>
      <c r="D268" s="841"/>
      <c r="E268" s="841"/>
      <c r="F268" s="841"/>
      <c r="G268" s="841"/>
      <c r="H268" s="841"/>
      <c r="I268" s="841"/>
      <c r="J268" s="841"/>
      <c r="K268" s="841"/>
      <c r="L268" s="842"/>
      <c r="O268" s="13"/>
    </row>
    <row r="269" spans="1:16" s="12" customFormat="1" x14ac:dyDescent="0.25">
      <c r="A269" s="14"/>
      <c r="B269" s="840"/>
      <c r="C269" s="841"/>
      <c r="D269" s="841"/>
      <c r="E269" s="841"/>
      <c r="F269" s="841"/>
      <c r="G269" s="841"/>
      <c r="H269" s="841"/>
      <c r="I269" s="841"/>
      <c r="J269" s="841"/>
      <c r="K269" s="841"/>
      <c r="L269" s="842"/>
      <c r="O269" s="13"/>
    </row>
    <row r="270" spans="1:16" s="157" customFormat="1" x14ac:dyDescent="0.25">
      <c r="A270" s="200"/>
      <c r="B270" s="835" t="str">
        <f>IF(Intro!$G$21="English",Variables!$B$23,Variables!$C$23)</f>
        <v>pièces</v>
      </c>
      <c r="C270" s="839"/>
      <c r="D270" s="839"/>
      <c r="E270" s="276"/>
      <c r="F270" s="276"/>
      <c r="G270" s="276"/>
      <c r="H270" s="276"/>
      <c r="I270" s="276"/>
      <c r="J270" s="276"/>
      <c r="K270" s="276"/>
      <c r="L270" s="290"/>
      <c r="O270" s="157" t="str">
        <f>Variables!B31</f>
        <v>No. 1 - Round plate (6” -7” (inclusive) diameter), 10-20 count package</v>
      </c>
      <c r="P270" s="157" t="str">
        <f>Variables!C31</f>
        <v>N° 1 - Assiette ronde (diamètre de 6 à 7 po inclusivement), emballage de 10 à 20 pièces</v>
      </c>
    </row>
    <row r="271" spans="1:16" s="157" customFormat="1" x14ac:dyDescent="0.25">
      <c r="A271" s="200"/>
      <c r="B271" s="837" t="str">
        <f>IF(Intro!G$21="English","net delivered selling value (CAD)","valeur de vente nette rendue (CAD)")</f>
        <v>valeur de vente nette rendue (CAD)</v>
      </c>
      <c r="C271" s="838"/>
      <c r="D271" s="838"/>
      <c r="E271" s="276"/>
      <c r="F271" s="276"/>
      <c r="G271" s="276"/>
      <c r="H271" s="276"/>
      <c r="I271" s="276"/>
      <c r="J271" s="276"/>
      <c r="K271" s="276"/>
      <c r="L271" s="290"/>
    </row>
    <row r="272" spans="1:16" s="157" customFormat="1" x14ac:dyDescent="0.25">
      <c r="A272" s="200"/>
      <c r="B272" s="835" t="str">
        <f>"$ / "&amp;IF(Intro!$G$21="English",Variables!$B$24,Variables!$C$24)</f>
        <v>$ / pièce</v>
      </c>
      <c r="C272" s="839"/>
      <c r="D272" s="839"/>
      <c r="E272" s="329" t="str">
        <f>IF(E270=0,"-",E271/E270)</f>
        <v>-</v>
      </c>
      <c r="F272" s="329" t="str">
        <f t="shared" ref="F272:L272" si="24">IF(F270=0,"-",F271/F270)</f>
        <v>-</v>
      </c>
      <c r="G272" s="329" t="str">
        <f t="shared" si="24"/>
        <v>-</v>
      </c>
      <c r="H272" s="329" t="str">
        <f t="shared" si="24"/>
        <v>-</v>
      </c>
      <c r="I272" s="329" t="str">
        <f t="shared" si="24"/>
        <v>-</v>
      </c>
      <c r="J272" s="329" t="str">
        <f t="shared" si="24"/>
        <v>-</v>
      </c>
      <c r="K272" s="329" t="str">
        <f t="shared" si="24"/>
        <v>-</v>
      </c>
      <c r="L272" s="330" t="str">
        <f t="shared" si="24"/>
        <v>-</v>
      </c>
    </row>
    <row r="273" spans="1:16" s="157" customFormat="1" x14ac:dyDescent="0.25">
      <c r="A273" s="14"/>
      <c r="B273" s="840" t="str">
        <f>IF(Intro!$G$21="English",O275,P275)</f>
        <v>N° 2 - Assiette ronde (diamètre de 6 à 7 po inclusivement), emballage de 35 à 50 pièces</v>
      </c>
      <c r="C273" s="841"/>
      <c r="D273" s="841"/>
      <c r="E273" s="841"/>
      <c r="F273" s="841"/>
      <c r="G273" s="841"/>
      <c r="H273" s="841"/>
      <c r="I273" s="841"/>
      <c r="J273" s="841"/>
      <c r="K273" s="841"/>
      <c r="L273" s="842"/>
    </row>
    <row r="274" spans="1:16" s="157" customFormat="1" x14ac:dyDescent="0.25">
      <c r="A274" s="14"/>
      <c r="B274" s="840"/>
      <c r="C274" s="841"/>
      <c r="D274" s="841"/>
      <c r="E274" s="841"/>
      <c r="F274" s="841"/>
      <c r="G274" s="841"/>
      <c r="H274" s="841"/>
      <c r="I274" s="841"/>
      <c r="J274" s="841"/>
      <c r="K274" s="841"/>
      <c r="L274" s="842"/>
    </row>
    <row r="275" spans="1:16" s="157" customFormat="1" x14ac:dyDescent="0.25">
      <c r="A275" s="200"/>
      <c r="B275" s="835" t="str">
        <f>IF(Intro!$G$21="English",Variables!$B$23,Variables!$C$23)</f>
        <v>pièces</v>
      </c>
      <c r="C275" s="839"/>
      <c r="D275" s="839"/>
      <c r="E275" s="276"/>
      <c r="F275" s="276"/>
      <c r="G275" s="276"/>
      <c r="H275" s="276"/>
      <c r="I275" s="276"/>
      <c r="J275" s="276"/>
      <c r="K275" s="276"/>
      <c r="L275" s="290"/>
      <c r="O275" s="157" t="str">
        <f>Variables!B32</f>
        <v>No. 2 - Round plate (6” -7” (inclusive) diameter), 35-50 count package</v>
      </c>
      <c r="P275" s="157" t="str">
        <f>Variables!C32</f>
        <v>N° 2 - Assiette ronde (diamètre de 6 à 7 po inclusivement), emballage de 35 à 50 pièces</v>
      </c>
    </row>
    <row r="276" spans="1:16" s="157" customFormat="1" x14ac:dyDescent="0.25">
      <c r="A276" s="200"/>
      <c r="B276" s="837" t="str">
        <f>IF(Intro!G$21="English","net delivered selling value (CAD)","valeur de vente nette rendue (CAD)")</f>
        <v>valeur de vente nette rendue (CAD)</v>
      </c>
      <c r="C276" s="838"/>
      <c r="D276" s="838"/>
      <c r="E276" s="276"/>
      <c r="F276" s="276"/>
      <c r="G276" s="276"/>
      <c r="H276" s="276"/>
      <c r="I276" s="276"/>
      <c r="J276" s="276"/>
      <c r="K276" s="276"/>
      <c r="L276" s="290"/>
    </row>
    <row r="277" spans="1:16" s="157" customFormat="1" x14ac:dyDescent="0.25">
      <c r="A277" s="200"/>
      <c r="B277" s="835" t="str">
        <f>"$ / "&amp;IF(Intro!$G$21="English",Variables!$B$24,Variables!$C$24)</f>
        <v>$ / pièce</v>
      </c>
      <c r="C277" s="839"/>
      <c r="D277" s="839"/>
      <c r="E277" s="329" t="str">
        <f t="shared" ref="E277:L277" si="25">IF(E275=0,"-",E276/E275)</f>
        <v>-</v>
      </c>
      <c r="F277" s="329" t="str">
        <f t="shared" si="25"/>
        <v>-</v>
      </c>
      <c r="G277" s="329" t="str">
        <f t="shared" si="25"/>
        <v>-</v>
      </c>
      <c r="H277" s="329" t="str">
        <f t="shared" si="25"/>
        <v>-</v>
      </c>
      <c r="I277" s="329" t="str">
        <f t="shared" si="25"/>
        <v>-</v>
      </c>
      <c r="J277" s="329" t="str">
        <f t="shared" si="25"/>
        <v>-</v>
      </c>
      <c r="K277" s="329" t="str">
        <f t="shared" si="25"/>
        <v>-</v>
      </c>
      <c r="L277" s="330" t="str">
        <f t="shared" si="25"/>
        <v>-</v>
      </c>
    </row>
    <row r="278" spans="1:16" s="157" customFormat="1" x14ac:dyDescent="0.25">
      <c r="A278" s="14"/>
      <c r="B278" s="840" t="str">
        <f>IF(Intro!$G$21="English",O280,P280)</f>
        <v>N° 3 - Assiette ronde (diamètre de 8,5 à 9 po inclusivement), emballage de 15 à 26 pièces</v>
      </c>
      <c r="C278" s="841"/>
      <c r="D278" s="841"/>
      <c r="E278" s="841"/>
      <c r="F278" s="841"/>
      <c r="G278" s="841"/>
      <c r="H278" s="841"/>
      <c r="I278" s="841"/>
      <c r="J278" s="841"/>
      <c r="K278" s="841"/>
      <c r="L278" s="842"/>
    </row>
    <row r="279" spans="1:16" s="157" customFormat="1" x14ac:dyDescent="0.25">
      <c r="A279" s="14"/>
      <c r="B279" s="840"/>
      <c r="C279" s="841"/>
      <c r="D279" s="841"/>
      <c r="E279" s="841"/>
      <c r="F279" s="841"/>
      <c r="G279" s="841"/>
      <c r="H279" s="841"/>
      <c r="I279" s="841"/>
      <c r="J279" s="841"/>
      <c r="K279" s="841"/>
      <c r="L279" s="842"/>
    </row>
    <row r="280" spans="1:16" s="157" customFormat="1" x14ac:dyDescent="0.25">
      <c r="A280" s="200"/>
      <c r="B280" s="835" t="str">
        <f>IF(Intro!$G$21="English",Variables!$B$23,Variables!$C$23)</f>
        <v>pièces</v>
      </c>
      <c r="C280" s="839"/>
      <c r="D280" s="839"/>
      <c r="E280" s="276"/>
      <c r="F280" s="276"/>
      <c r="G280" s="276"/>
      <c r="H280" s="276"/>
      <c r="I280" s="276"/>
      <c r="J280" s="276"/>
      <c r="K280" s="276"/>
      <c r="L280" s="290"/>
      <c r="O280" s="157" t="str">
        <f>Variables!B33</f>
        <v>No. 3 - Round plate (8.5” – 9” (inclusive) diameter), 15 – 26 count package</v>
      </c>
      <c r="P280" s="157" t="str">
        <f>Variables!C33</f>
        <v>N° 3 - Assiette ronde (diamètre de 8,5 à 9 po inclusivement), emballage de 15 à 26 pièces</v>
      </c>
    </row>
    <row r="281" spans="1:16" s="157" customFormat="1" x14ac:dyDescent="0.25">
      <c r="A281" s="200"/>
      <c r="B281" s="837" t="str">
        <f>IF(Intro!G$21="English","net delivered selling value (CAD)","valeur de vente nette rendue (CAD)")</f>
        <v>valeur de vente nette rendue (CAD)</v>
      </c>
      <c r="C281" s="838"/>
      <c r="D281" s="838"/>
      <c r="E281" s="276"/>
      <c r="F281" s="276"/>
      <c r="G281" s="276"/>
      <c r="H281" s="276"/>
      <c r="I281" s="276"/>
      <c r="J281" s="276"/>
      <c r="K281" s="276"/>
      <c r="L281" s="290"/>
    </row>
    <row r="282" spans="1:16" s="157" customFormat="1" x14ac:dyDescent="0.25">
      <c r="A282" s="200"/>
      <c r="B282" s="835" t="str">
        <f>"$ / "&amp;IF(Intro!$G$21="English",Variables!$B$24,Variables!$C$24)</f>
        <v>$ / pièce</v>
      </c>
      <c r="C282" s="839"/>
      <c r="D282" s="839"/>
      <c r="E282" s="329" t="str">
        <f t="shared" ref="E282:L282" si="26">IF(E280=0,"-",E281/E280)</f>
        <v>-</v>
      </c>
      <c r="F282" s="329" t="str">
        <f t="shared" si="26"/>
        <v>-</v>
      </c>
      <c r="G282" s="329" t="str">
        <f t="shared" si="26"/>
        <v>-</v>
      </c>
      <c r="H282" s="329" t="str">
        <f t="shared" si="26"/>
        <v>-</v>
      </c>
      <c r="I282" s="329" t="str">
        <f t="shared" si="26"/>
        <v>-</v>
      </c>
      <c r="J282" s="329" t="str">
        <f t="shared" si="26"/>
        <v>-</v>
      </c>
      <c r="K282" s="329" t="str">
        <f t="shared" si="26"/>
        <v>-</v>
      </c>
      <c r="L282" s="330" t="str">
        <f t="shared" si="26"/>
        <v>-</v>
      </c>
    </row>
    <row r="283" spans="1:16" s="157" customFormat="1" x14ac:dyDescent="0.25">
      <c r="A283" s="14"/>
      <c r="B283" s="840" t="str">
        <f>IF(Intro!$G$21="English",O285,P285)</f>
        <v>N° 4 - Assiette ronde (diamètre de 8,5 à 9 po inclusivement), emballage de 35 à 50 pièces</v>
      </c>
      <c r="C283" s="841"/>
      <c r="D283" s="841"/>
      <c r="E283" s="841"/>
      <c r="F283" s="841"/>
      <c r="G283" s="841"/>
      <c r="H283" s="841"/>
      <c r="I283" s="841"/>
      <c r="J283" s="841"/>
      <c r="K283" s="841"/>
      <c r="L283" s="842"/>
    </row>
    <row r="284" spans="1:16" s="157" customFormat="1" x14ac:dyDescent="0.25">
      <c r="A284" s="14"/>
      <c r="B284" s="840"/>
      <c r="C284" s="841"/>
      <c r="D284" s="841"/>
      <c r="E284" s="841"/>
      <c r="F284" s="841"/>
      <c r="G284" s="841"/>
      <c r="H284" s="841"/>
      <c r="I284" s="841"/>
      <c r="J284" s="841"/>
      <c r="K284" s="841"/>
      <c r="L284" s="842"/>
    </row>
    <row r="285" spans="1:16" s="157" customFormat="1" x14ac:dyDescent="0.25">
      <c r="A285" s="200"/>
      <c r="B285" s="835" t="str">
        <f>IF(Intro!$G$21="English",Variables!$B$23,Variables!$C$23)</f>
        <v>pièces</v>
      </c>
      <c r="C285" s="839"/>
      <c r="D285" s="839"/>
      <c r="E285" s="276"/>
      <c r="F285" s="276"/>
      <c r="G285" s="276"/>
      <c r="H285" s="276"/>
      <c r="I285" s="276"/>
      <c r="J285" s="276"/>
      <c r="K285" s="276"/>
      <c r="L285" s="290"/>
      <c r="O285" s="157" t="str">
        <f>Variables!B34</f>
        <v>No. 4 - Round plate (8.5” – 9” (inclusive) diameter), 35 – 50 count package</v>
      </c>
      <c r="P285" s="157" t="str">
        <f>Variables!C34</f>
        <v>N° 4 - Assiette ronde (diamètre de 8,5 à 9 po inclusivement), emballage de 35 à 50 pièces</v>
      </c>
    </row>
    <row r="286" spans="1:16" s="157" customFormat="1" x14ac:dyDescent="0.25">
      <c r="A286" s="200"/>
      <c r="B286" s="837" t="str">
        <f>IF(Intro!G$21="English","net delivered selling value (CAD)","valeur de vente nette rendue (CAD)")</f>
        <v>valeur de vente nette rendue (CAD)</v>
      </c>
      <c r="C286" s="838"/>
      <c r="D286" s="838"/>
      <c r="E286" s="276"/>
      <c r="F286" s="276"/>
      <c r="G286" s="276"/>
      <c r="H286" s="276"/>
      <c r="I286" s="276"/>
      <c r="J286" s="276"/>
      <c r="K286" s="276"/>
      <c r="L286" s="290"/>
    </row>
    <row r="287" spans="1:16" s="157" customFormat="1" x14ac:dyDescent="0.25">
      <c r="A287" s="200"/>
      <c r="B287" s="835" t="str">
        <f>"$ / "&amp;IF(Intro!$G$21="English",Variables!$B$24,Variables!$C$24)</f>
        <v>$ / pièce</v>
      </c>
      <c r="C287" s="839"/>
      <c r="D287" s="839"/>
      <c r="E287" s="329" t="str">
        <f t="shared" ref="E287:L287" si="27">IF(E285=0,"-",E286/E285)</f>
        <v>-</v>
      </c>
      <c r="F287" s="329" t="str">
        <f t="shared" si="27"/>
        <v>-</v>
      </c>
      <c r="G287" s="329" t="str">
        <f t="shared" si="27"/>
        <v>-</v>
      </c>
      <c r="H287" s="329" t="str">
        <f t="shared" si="27"/>
        <v>-</v>
      </c>
      <c r="I287" s="329" t="str">
        <f t="shared" si="27"/>
        <v>-</v>
      </c>
      <c r="J287" s="329" t="str">
        <f t="shared" si="27"/>
        <v>-</v>
      </c>
      <c r="K287" s="329" t="str">
        <f t="shared" si="27"/>
        <v>-</v>
      </c>
      <c r="L287" s="330" t="str">
        <f t="shared" si="27"/>
        <v>-</v>
      </c>
    </row>
    <row r="288" spans="1:16" s="157" customFormat="1" x14ac:dyDescent="0.25">
      <c r="A288" s="14"/>
      <c r="B288" s="840" t="str">
        <f>IF(Intro!$G$21="English",O290,P290)</f>
        <v>N° 5 - Assiette ronde (diamètre de 8,5 à 9 po inclusivement), emballage de 125 à 180 pièces</v>
      </c>
      <c r="C288" s="841"/>
      <c r="D288" s="841"/>
      <c r="E288" s="841"/>
      <c r="F288" s="841"/>
      <c r="G288" s="841"/>
      <c r="H288" s="841"/>
      <c r="I288" s="841"/>
      <c r="J288" s="841"/>
      <c r="K288" s="841"/>
      <c r="L288" s="842"/>
    </row>
    <row r="289" spans="1:16" s="157" customFormat="1" x14ac:dyDescent="0.25">
      <c r="A289" s="14"/>
      <c r="B289" s="840"/>
      <c r="C289" s="841"/>
      <c r="D289" s="841"/>
      <c r="E289" s="841"/>
      <c r="F289" s="841"/>
      <c r="G289" s="841"/>
      <c r="H289" s="841"/>
      <c r="I289" s="841"/>
      <c r="J289" s="841"/>
      <c r="K289" s="841"/>
      <c r="L289" s="842"/>
    </row>
    <row r="290" spans="1:16" s="157" customFormat="1" x14ac:dyDescent="0.25">
      <c r="A290" s="200"/>
      <c r="B290" s="835" t="str">
        <f>IF(Intro!$G$21="English",Variables!$B$23,Variables!$C$23)</f>
        <v>pièces</v>
      </c>
      <c r="C290" s="839"/>
      <c r="D290" s="839"/>
      <c r="E290" s="276"/>
      <c r="F290" s="276"/>
      <c r="G290" s="276"/>
      <c r="H290" s="276"/>
      <c r="I290" s="276"/>
      <c r="J290" s="276"/>
      <c r="K290" s="276"/>
      <c r="L290" s="290"/>
      <c r="O290" s="157" t="str">
        <f>Variables!B35</f>
        <v>No. 5 - Round plate (8.5” – 9” (inclusive) diameter), 125 – 180 count package</v>
      </c>
      <c r="P290" s="157" t="str">
        <f>Variables!C35</f>
        <v>N° 5 - Assiette ronde (diamètre de 8,5 à 9 po inclusivement), emballage de 125 à 180 pièces</v>
      </c>
    </row>
    <row r="291" spans="1:16" s="157" customFormat="1" x14ac:dyDescent="0.25">
      <c r="A291" s="200"/>
      <c r="B291" s="837" t="str">
        <f>IF(Intro!G$21="English","net delivered selling value (CAD)","valeur de vente nette rendue (CAD)")</f>
        <v>valeur de vente nette rendue (CAD)</v>
      </c>
      <c r="C291" s="838"/>
      <c r="D291" s="838"/>
      <c r="E291" s="276"/>
      <c r="F291" s="276"/>
      <c r="G291" s="276"/>
      <c r="H291" s="276"/>
      <c r="I291" s="276"/>
      <c r="J291" s="276"/>
      <c r="K291" s="276"/>
      <c r="L291" s="290"/>
    </row>
    <row r="292" spans="1:16" s="157" customFormat="1" x14ac:dyDescent="0.25">
      <c r="A292" s="200"/>
      <c r="B292" s="835" t="str">
        <f>"$ / "&amp;IF(Intro!$G$21="English",Variables!$B$24,Variables!$C$24)</f>
        <v>$ / pièce</v>
      </c>
      <c r="C292" s="839"/>
      <c r="D292" s="839"/>
      <c r="E292" s="329" t="str">
        <f t="shared" ref="E292:L292" si="28">IF(E290=0,"-",E291/E290)</f>
        <v>-</v>
      </c>
      <c r="F292" s="329" t="str">
        <f t="shared" si="28"/>
        <v>-</v>
      </c>
      <c r="G292" s="329" t="str">
        <f t="shared" si="28"/>
        <v>-</v>
      </c>
      <c r="H292" s="329" t="str">
        <f t="shared" si="28"/>
        <v>-</v>
      </c>
      <c r="I292" s="329" t="str">
        <f t="shared" si="28"/>
        <v>-</v>
      </c>
      <c r="J292" s="329" t="str">
        <f t="shared" si="28"/>
        <v>-</v>
      </c>
      <c r="K292" s="329" t="str">
        <f t="shared" si="28"/>
        <v>-</v>
      </c>
      <c r="L292" s="330" t="str">
        <f t="shared" si="28"/>
        <v>-</v>
      </c>
    </row>
    <row r="293" spans="1:16" s="157" customFormat="1" x14ac:dyDescent="0.25">
      <c r="A293" s="14"/>
      <c r="B293" s="840" t="str">
        <f>IF(Intro!$G$21="English",O295,P295)</f>
        <v>N° 6 - Assiette ronde (diamètre de 10 à 10,5 po inclusivement), emballage de 10 à 20 pièces</v>
      </c>
      <c r="C293" s="841"/>
      <c r="D293" s="841"/>
      <c r="E293" s="841"/>
      <c r="F293" s="841"/>
      <c r="G293" s="841"/>
      <c r="H293" s="841"/>
      <c r="I293" s="841"/>
      <c r="J293" s="841"/>
      <c r="K293" s="841"/>
      <c r="L293" s="842"/>
    </row>
    <row r="294" spans="1:16" s="157" customFormat="1" x14ac:dyDescent="0.25">
      <c r="A294" s="14"/>
      <c r="B294" s="840"/>
      <c r="C294" s="841"/>
      <c r="D294" s="841"/>
      <c r="E294" s="841"/>
      <c r="F294" s="841"/>
      <c r="G294" s="841"/>
      <c r="H294" s="841"/>
      <c r="I294" s="841"/>
      <c r="J294" s="841"/>
      <c r="K294" s="841"/>
      <c r="L294" s="842"/>
    </row>
    <row r="295" spans="1:16" s="157" customFormat="1" x14ac:dyDescent="0.25">
      <c r="A295" s="200"/>
      <c r="B295" s="835" t="str">
        <f>IF(Intro!$G$21="English",Variables!$B$23,Variables!$C$23)</f>
        <v>pièces</v>
      </c>
      <c r="C295" s="839"/>
      <c r="D295" s="839"/>
      <c r="E295" s="276"/>
      <c r="F295" s="276"/>
      <c r="G295" s="276"/>
      <c r="H295" s="276"/>
      <c r="I295" s="276"/>
      <c r="J295" s="276"/>
      <c r="K295" s="276"/>
      <c r="L295" s="290"/>
      <c r="O295" s="157" t="str">
        <f>Variables!B36</f>
        <v>No. 6 - Round plate (10” – 10.5” (inclusive) diameter), 10 – 20 count package</v>
      </c>
      <c r="P295" s="157" t="str">
        <f>Variables!C36</f>
        <v>N° 6 - Assiette ronde (diamètre de 10 à 10,5 po inclusivement), emballage de 10 à 20 pièces</v>
      </c>
    </row>
    <row r="296" spans="1:16" s="157" customFormat="1" x14ac:dyDescent="0.25">
      <c r="A296" s="200"/>
      <c r="B296" s="837" t="str">
        <f>IF(Intro!G$21="English","net delivered selling value (CAD)","valeur de vente nette rendue (CAD)")</f>
        <v>valeur de vente nette rendue (CAD)</v>
      </c>
      <c r="C296" s="838"/>
      <c r="D296" s="838"/>
      <c r="E296" s="276"/>
      <c r="F296" s="276"/>
      <c r="G296" s="276"/>
      <c r="H296" s="276"/>
      <c r="I296" s="276"/>
      <c r="J296" s="276"/>
      <c r="K296" s="276"/>
      <c r="L296" s="290"/>
    </row>
    <row r="297" spans="1:16" s="157" customFormat="1" x14ac:dyDescent="0.25">
      <c r="A297" s="200"/>
      <c r="B297" s="835" t="str">
        <f>"$ / "&amp;IF(Intro!$G$21="English",Variables!$B$24,Variables!$C$24)</f>
        <v>$ / pièce</v>
      </c>
      <c r="C297" s="839"/>
      <c r="D297" s="839"/>
      <c r="E297" s="329" t="str">
        <f t="shared" ref="E297:L297" si="29">IF(E295=0,"-",E296/E295)</f>
        <v>-</v>
      </c>
      <c r="F297" s="329" t="str">
        <f t="shared" si="29"/>
        <v>-</v>
      </c>
      <c r="G297" s="329" t="str">
        <f t="shared" si="29"/>
        <v>-</v>
      </c>
      <c r="H297" s="329" t="str">
        <f t="shared" si="29"/>
        <v>-</v>
      </c>
      <c r="I297" s="329" t="str">
        <f t="shared" si="29"/>
        <v>-</v>
      </c>
      <c r="J297" s="329" t="str">
        <f t="shared" si="29"/>
        <v>-</v>
      </c>
      <c r="K297" s="329" t="str">
        <f t="shared" si="29"/>
        <v>-</v>
      </c>
      <c r="L297" s="330" t="str">
        <f t="shared" si="29"/>
        <v>-</v>
      </c>
    </row>
    <row r="298" spans="1:16" s="157" customFormat="1" x14ac:dyDescent="0.25">
      <c r="A298" s="14"/>
      <c r="B298" s="840" t="str">
        <f>IF(Intro!$G$21="English",O300,P300)</f>
        <v>N° 7 - Assiette ronde (diamètre de 10 à 10,5 po inclusivement), emballage de 35 à 50 pièces</v>
      </c>
      <c r="C298" s="841"/>
      <c r="D298" s="841"/>
      <c r="E298" s="841"/>
      <c r="F298" s="841"/>
      <c r="G298" s="841"/>
      <c r="H298" s="841"/>
      <c r="I298" s="841"/>
      <c r="J298" s="841"/>
      <c r="K298" s="841"/>
      <c r="L298" s="842"/>
    </row>
    <row r="299" spans="1:16" s="157" customFormat="1" x14ac:dyDescent="0.25">
      <c r="A299" s="14"/>
      <c r="B299" s="840"/>
      <c r="C299" s="841"/>
      <c r="D299" s="841"/>
      <c r="E299" s="841"/>
      <c r="F299" s="841"/>
      <c r="G299" s="841"/>
      <c r="H299" s="841"/>
      <c r="I299" s="841"/>
      <c r="J299" s="841"/>
      <c r="K299" s="841"/>
      <c r="L299" s="842"/>
    </row>
    <row r="300" spans="1:16" s="157" customFormat="1" x14ac:dyDescent="0.25">
      <c r="A300" s="200"/>
      <c r="B300" s="835" t="str">
        <f>IF(Intro!$G$21="English",Variables!$B$23,Variables!$C$23)</f>
        <v>pièces</v>
      </c>
      <c r="C300" s="839"/>
      <c r="D300" s="839"/>
      <c r="E300" s="276"/>
      <c r="F300" s="276"/>
      <c r="G300" s="276"/>
      <c r="H300" s="276"/>
      <c r="I300" s="276"/>
      <c r="J300" s="276"/>
      <c r="K300" s="276"/>
      <c r="L300" s="290"/>
      <c r="O300" s="157" t="str">
        <f>Variables!B37</f>
        <v>No. 7 - Round plate (10” – 10.5” (inclusive) diameter), 35 – 50 count package</v>
      </c>
      <c r="P300" s="157" t="str">
        <f>Variables!C37</f>
        <v>N° 7 - Assiette ronde (diamètre de 10 à 10,5 po inclusivement), emballage de 35 à 50 pièces</v>
      </c>
    </row>
    <row r="301" spans="1:16" s="157" customFormat="1" x14ac:dyDescent="0.25">
      <c r="A301" s="200"/>
      <c r="B301" s="837" t="str">
        <f>IF(Intro!G$21="English","net delivered selling value (CAD)","valeur de vente nette rendue (CAD)")</f>
        <v>valeur de vente nette rendue (CAD)</v>
      </c>
      <c r="C301" s="838"/>
      <c r="D301" s="838"/>
      <c r="E301" s="276"/>
      <c r="F301" s="276"/>
      <c r="G301" s="276"/>
      <c r="H301" s="276"/>
      <c r="I301" s="276"/>
      <c r="J301" s="276"/>
      <c r="K301" s="276"/>
      <c r="L301" s="290"/>
    </row>
    <row r="302" spans="1:16" s="157" customFormat="1" x14ac:dyDescent="0.25">
      <c r="A302" s="200"/>
      <c r="B302" s="835" t="str">
        <f>"$ / "&amp;IF(Intro!$G$21="English",Variables!$B$24,Variables!$C$24)</f>
        <v>$ / pièce</v>
      </c>
      <c r="C302" s="839"/>
      <c r="D302" s="839"/>
      <c r="E302" s="329" t="str">
        <f t="shared" ref="E302:L302" si="30">IF(E300=0,"-",E301/E300)</f>
        <v>-</v>
      </c>
      <c r="F302" s="329" t="str">
        <f t="shared" si="30"/>
        <v>-</v>
      </c>
      <c r="G302" s="329" t="str">
        <f t="shared" si="30"/>
        <v>-</v>
      </c>
      <c r="H302" s="329" t="str">
        <f t="shared" si="30"/>
        <v>-</v>
      </c>
      <c r="I302" s="329" t="str">
        <f t="shared" si="30"/>
        <v>-</v>
      </c>
      <c r="J302" s="329" t="str">
        <f t="shared" si="30"/>
        <v>-</v>
      </c>
      <c r="K302" s="329" t="str">
        <f t="shared" si="30"/>
        <v>-</v>
      </c>
      <c r="L302" s="330" t="str">
        <f t="shared" si="30"/>
        <v>-</v>
      </c>
    </row>
    <row r="303" spans="1:16" s="157" customFormat="1" x14ac:dyDescent="0.25">
      <c r="A303" s="14"/>
      <c r="B303" s="840" t="str">
        <f>IF(Intro!$G$21="English",O305,P305)</f>
        <v>N° 8 - Assiette ronde (diamètre de 10 à 10,5 po inclusivement), emballage de 125 à 180 pièces</v>
      </c>
      <c r="C303" s="841"/>
      <c r="D303" s="841"/>
      <c r="E303" s="841"/>
      <c r="F303" s="841"/>
      <c r="G303" s="841"/>
      <c r="H303" s="841"/>
      <c r="I303" s="841"/>
      <c r="J303" s="841"/>
      <c r="K303" s="841"/>
      <c r="L303" s="842"/>
    </row>
    <row r="304" spans="1:16" s="157" customFormat="1" x14ac:dyDescent="0.25">
      <c r="A304" s="14"/>
      <c r="B304" s="840"/>
      <c r="C304" s="841"/>
      <c r="D304" s="841"/>
      <c r="E304" s="841"/>
      <c r="F304" s="841"/>
      <c r="G304" s="841"/>
      <c r="H304" s="841"/>
      <c r="I304" s="841"/>
      <c r="J304" s="841"/>
      <c r="K304" s="841"/>
      <c r="L304" s="842"/>
    </row>
    <row r="305" spans="1:19" s="157" customFormat="1" x14ac:dyDescent="0.25">
      <c r="A305" s="200"/>
      <c r="B305" s="835" t="str">
        <f>IF(Intro!$G$21="English",Variables!$B$23,Variables!$C$23)</f>
        <v>pièces</v>
      </c>
      <c r="C305" s="839"/>
      <c r="D305" s="839"/>
      <c r="E305" s="276"/>
      <c r="F305" s="276"/>
      <c r="G305" s="276"/>
      <c r="H305" s="276"/>
      <c r="I305" s="276"/>
      <c r="J305" s="276"/>
      <c r="K305" s="276"/>
      <c r="L305" s="290"/>
      <c r="O305" s="157" t="str">
        <f>Variables!B38</f>
        <v>No. 8 - Round plate (10” – 10.5” (inclusive) diameter), 125 – 180 count package</v>
      </c>
      <c r="P305" s="157" t="str">
        <f>Variables!C38</f>
        <v>N° 8 - Assiette ronde (diamètre de 10 à 10,5 po inclusivement), emballage de 125 à 180 pièces</v>
      </c>
    </row>
    <row r="306" spans="1:19" s="157" customFormat="1" x14ac:dyDescent="0.25">
      <c r="A306" s="200"/>
      <c r="B306" s="837" t="str">
        <f>IF(Intro!G$21="English","net delivered selling value (CAD)","valeur de vente nette rendue (CAD)")</f>
        <v>valeur de vente nette rendue (CAD)</v>
      </c>
      <c r="C306" s="838"/>
      <c r="D306" s="838"/>
      <c r="E306" s="276"/>
      <c r="F306" s="276"/>
      <c r="G306" s="276"/>
      <c r="H306" s="276"/>
      <c r="I306" s="276"/>
      <c r="J306" s="276"/>
      <c r="K306" s="276"/>
      <c r="L306" s="290"/>
    </row>
    <row r="307" spans="1:19" s="157" customFormat="1" x14ac:dyDescent="0.25">
      <c r="A307" s="200"/>
      <c r="B307" s="835" t="str">
        <f>"$ / "&amp;IF(Intro!$G$21="English",Variables!$B$24,Variables!$C$24)</f>
        <v>$ / pièce</v>
      </c>
      <c r="C307" s="839"/>
      <c r="D307" s="839"/>
      <c r="E307" s="329" t="str">
        <f t="shared" ref="E307:L307" si="31">IF(E305=0,"-",E306/E305)</f>
        <v>-</v>
      </c>
      <c r="F307" s="329" t="str">
        <f t="shared" si="31"/>
        <v>-</v>
      </c>
      <c r="G307" s="329" t="str">
        <f t="shared" si="31"/>
        <v>-</v>
      </c>
      <c r="H307" s="329" t="str">
        <f t="shared" si="31"/>
        <v>-</v>
      </c>
      <c r="I307" s="329" t="str">
        <f t="shared" si="31"/>
        <v>-</v>
      </c>
      <c r="J307" s="329" t="str">
        <f t="shared" si="31"/>
        <v>-</v>
      </c>
      <c r="K307" s="329" t="str">
        <f t="shared" si="31"/>
        <v>-</v>
      </c>
      <c r="L307" s="330" t="str">
        <f t="shared" si="31"/>
        <v>-</v>
      </c>
    </row>
    <row r="308" spans="1:19" s="157" customFormat="1" x14ac:dyDescent="0.25">
      <c r="A308" s="200"/>
      <c r="B308" s="261"/>
      <c r="C308" s="262"/>
      <c r="D308" s="262"/>
      <c r="E308" s="39"/>
      <c r="F308" s="39"/>
      <c r="G308" s="39"/>
      <c r="H308" s="39"/>
      <c r="I308" s="39"/>
      <c r="J308" s="39"/>
      <c r="K308" s="39"/>
      <c r="L308" s="40"/>
    </row>
    <row r="309" spans="1:19" s="157" customFormat="1" x14ac:dyDescent="0.25">
      <c r="A309" s="200"/>
      <c r="B309" s="672" t="str">
        <f>IF(Intro!$G$21="English",O309,P309)</f>
        <v>Dans le tableau ci-dessous, « Erreur » signifie que le total des ventes des produits de référence de votre entreprise dépasse le total des ventes nationales de votre entreprise pour cette période. Par conséquent, veuillez modifier les données ci-dessus.</v>
      </c>
      <c r="C309" s="673"/>
      <c r="D309" s="673"/>
      <c r="E309" s="673"/>
      <c r="F309" s="673"/>
      <c r="G309" s="673"/>
      <c r="H309" s="673"/>
      <c r="I309" s="673"/>
      <c r="J309" s="673"/>
      <c r="K309" s="673"/>
      <c r="L309" s="674"/>
      <c r="O309" s="157" t="s">
        <v>444</v>
      </c>
      <c r="P309" s="157" t="s">
        <v>409</v>
      </c>
      <c r="Q309" s="182"/>
      <c r="R309" s="182"/>
      <c r="S309" s="182"/>
    </row>
    <row r="310" spans="1:19" s="157" customFormat="1" x14ac:dyDescent="0.25">
      <c r="A310" s="200"/>
      <c r="B310" s="672"/>
      <c r="C310" s="673"/>
      <c r="D310" s="673"/>
      <c r="E310" s="673"/>
      <c r="F310" s="673"/>
      <c r="G310" s="673"/>
      <c r="H310" s="673"/>
      <c r="I310" s="673"/>
      <c r="J310" s="673"/>
      <c r="K310" s="673"/>
      <c r="L310" s="674"/>
      <c r="Q310" s="182"/>
      <c r="R310" s="182"/>
      <c r="S310" s="182"/>
    </row>
    <row r="311" spans="1:19" s="157" customFormat="1" x14ac:dyDescent="0.25">
      <c r="A311" s="200"/>
      <c r="B311" s="186"/>
      <c r="C311" s="187"/>
      <c r="D311" s="187"/>
      <c r="E311" s="39"/>
      <c r="F311" s="39"/>
      <c r="G311" s="39"/>
      <c r="H311" s="39"/>
      <c r="I311" s="39"/>
      <c r="J311" s="39"/>
      <c r="K311" s="39"/>
      <c r="L311" s="40"/>
      <c r="Q311" s="182"/>
      <c r="R311" s="182"/>
      <c r="S311" s="182"/>
    </row>
    <row r="312" spans="1:19" s="12" customFormat="1" ht="28.5" x14ac:dyDescent="0.25">
      <c r="A312" s="14" t="s">
        <v>896</v>
      </c>
      <c r="B312" s="186"/>
      <c r="C312" s="187"/>
      <c r="D312" s="32"/>
      <c r="F312" s="628">
        <f>F257</f>
        <v>2023</v>
      </c>
      <c r="G312" s="628">
        <f>G257</f>
        <v>2024</v>
      </c>
      <c r="H312" s="628" t="str">
        <f>H257</f>
        <v>janv-sept 2024</v>
      </c>
      <c r="I312" s="628" t="str">
        <f>I257</f>
        <v>janv-sept 2025</v>
      </c>
      <c r="J312" s="335"/>
      <c r="K312" s="335"/>
      <c r="L312" s="336"/>
      <c r="O312" s="157"/>
      <c r="P312" s="157"/>
    </row>
    <row r="313" spans="1:19" s="157" customFormat="1" x14ac:dyDescent="0.25">
      <c r="A313" s="200"/>
      <c r="B313" s="855" t="str">
        <f>Variables!D42</f>
        <v>Vérification</v>
      </c>
      <c r="C313" s="839" t="str">
        <f>IF(Intro!$G$21="English",Variables!$B$23,Variables!$C$23)</f>
        <v>pièces</v>
      </c>
      <c r="D313" s="839"/>
      <c r="E313" s="839"/>
      <c r="F313" s="293" t="str">
        <f>IF(SUM(E270,E275,E280,E285,E290,E295,E300,E305)&gt;SUM(I29,I32,I35),Variables!D$43,Variables!D$44)</f>
        <v>Correct</v>
      </c>
      <c r="G313" s="293" t="str">
        <f>IF(SUM(F270:I270,F275:I275,F280:I280,F285:I285,F290:I290,F295:I295,F300:I300,F305:I305)&gt;SUM(J29,J32,J35),Variables!D$43,Variables!D$44)</f>
        <v>Correct</v>
      </c>
      <c r="H313" s="293" t="str">
        <f>IF(SUM(F270:H270,F275:H275,F280:H280,F285:H285,F290:H290,F295:H295,F300:H300,F305:H305)&gt;SUM(K29,K32,K35),Variables!D$43,Variables!D$44)</f>
        <v>Correct</v>
      </c>
      <c r="I313" s="293" t="str">
        <f>IF(SUM(J270:L270,J275:L275,J280:L280,J285:L285,J290:L290,J295:L295,J300:L300,J305:L305)&gt;SUM(L29,L32,L35),Variables!D$43,Variables!D$44)</f>
        <v>Correct</v>
      </c>
      <c r="J313" s="340"/>
      <c r="K313" s="210"/>
      <c r="L313" s="211"/>
    </row>
    <row r="314" spans="1:19" s="157" customFormat="1" x14ac:dyDescent="0.25">
      <c r="A314" s="200"/>
      <c r="B314" s="855"/>
      <c r="C314" s="838" t="str">
        <f>IF(Intro!G$21="English","net delivered selling value (CAD)","valeur de vente nette rendue (CAD)")</f>
        <v>valeur de vente nette rendue (CAD)</v>
      </c>
      <c r="D314" s="838"/>
      <c r="E314" s="838"/>
      <c r="F314" s="293" t="str">
        <f>IF(SUM(E271,E276,E281,E286,E291,E296,E301,E306)&gt;SUM(I30,I33,I36),Variables!D$43,Variables!D$44)</f>
        <v>Correct</v>
      </c>
      <c r="G314" s="293" t="str">
        <f>IF(SUM(F271:I271,F276:I276,F281:I281,F285:I285,F290:I290,F295:I295,F300:I300,F305:I305,)&gt;SUM(J30,J33,J36),Variables!D$43,Variables!D$44)</f>
        <v>Correct</v>
      </c>
      <c r="H314" s="293" t="str">
        <f>IF(SUM(F271:H271,F276:H276,F281:H281,F286:H286,F291:H291,F296:H296,F301:H301,F305:H305)&gt;SUM(K30,K33,K36),Variables!D$43,Variables!D$44)</f>
        <v>Correct</v>
      </c>
      <c r="I314" s="293" t="str">
        <f>IF(SUM(J271:L271,J276:L276,J281:L281,J286:L286,J291:L291,J296:L296,J301:L301,J306:L306)&gt;SUM(L30,L33,L36),Variables!D$43,Variables!D$44)</f>
        <v>Correct</v>
      </c>
      <c r="J314" s="210"/>
      <c r="K314" s="210"/>
      <c r="L314" s="211"/>
    </row>
    <row r="315" spans="1:19" s="157" customFormat="1" x14ac:dyDescent="0.25">
      <c r="A315" s="200"/>
      <c r="B315" s="207"/>
      <c r="C315" s="208"/>
      <c r="D315" s="208"/>
      <c r="E315" s="208"/>
      <c r="F315" s="208"/>
      <c r="G315" s="208"/>
      <c r="H315" s="208"/>
      <c r="I315" s="208"/>
      <c r="J315" s="208"/>
      <c r="K315" s="208"/>
      <c r="L315" s="209"/>
    </row>
    <row r="316" spans="1:19" s="3" customFormat="1" x14ac:dyDescent="0.25">
      <c r="A316" s="14"/>
      <c r="B316" s="233"/>
      <c r="C316" s="233"/>
      <c r="D316" s="218"/>
      <c r="E316" s="219"/>
      <c r="F316" s="214"/>
      <c r="G316" s="219"/>
      <c r="H316" s="219"/>
      <c r="I316" s="219"/>
      <c r="J316" s="219"/>
      <c r="K316" s="219"/>
      <c r="L316" s="219"/>
      <c r="M316" s="216"/>
    </row>
    <row r="317" spans="1:19" s="183" customFormat="1" x14ac:dyDescent="0.25">
      <c r="A317" s="212"/>
      <c r="B317" s="213"/>
      <c r="C317" s="213"/>
      <c r="D317" s="214"/>
      <c r="E317" s="214"/>
      <c r="G317" s="214"/>
      <c r="H317" s="214"/>
      <c r="I317" s="214"/>
      <c r="J317" s="214"/>
      <c r="K317" s="214"/>
      <c r="L317" s="214"/>
      <c r="N317" s="215"/>
    </row>
    <row r="318" spans="1:19" s="183" customFormat="1" x14ac:dyDescent="0.25">
      <c r="A318" s="212"/>
      <c r="B318" s="213"/>
      <c r="C318" s="213"/>
      <c r="D318" s="214"/>
      <c r="E318" s="214"/>
      <c r="F318" s="214"/>
      <c r="G318" s="214"/>
      <c r="H318" s="214"/>
      <c r="I318" s="214"/>
      <c r="J318" s="214"/>
      <c r="K318" s="214"/>
      <c r="L318" s="214"/>
      <c r="N318" s="215"/>
    </row>
    <row r="319" spans="1:19" s="183" customFormat="1" x14ac:dyDescent="0.25">
      <c r="A319" s="212"/>
      <c r="B319" s="213"/>
      <c r="C319" s="213"/>
      <c r="D319" s="214"/>
      <c r="E319" s="214"/>
      <c r="F319" s="214"/>
      <c r="G319" s="214"/>
      <c r="H319" s="214"/>
      <c r="I319" s="214"/>
      <c r="J319" s="214"/>
      <c r="K319" s="214"/>
      <c r="L319" s="214"/>
      <c r="N319" s="215"/>
    </row>
    <row r="320" spans="1:19" s="183" customFormat="1" x14ac:dyDescent="0.25">
      <c r="A320" s="212"/>
      <c r="B320" s="213"/>
      <c r="C320" s="213"/>
      <c r="D320" s="214"/>
      <c r="E320" s="214"/>
      <c r="F320" s="214"/>
      <c r="G320" s="214"/>
      <c r="H320" s="214"/>
      <c r="I320" s="214"/>
      <c r="J320" s="214"/>
      <c r="K320" s="214"/>
      <c r="L320" s="214"/>
      <c r="N320" s="215"/>
    </row>
    <row r="321" spans="1:14" s="183" customFormat="1" x14ac:dyDescent="0.25">
      <c r="A321" s="212"/>
      <c r="B321" s="213"/>
      <c r="C321" s="213"/>
      <c r="D321" s="214"/>
      <c r="E321" s="214"/>
      <c r="F321" s="214"/>
      <c r="G321" s="214"/>
      <c r="H321" s="214"/>
      <c r="I321" s="214"/>
      <c r="J321" s="214"/>
      <c r="K321" s="214"/>
      <c r="L321" s="214"/>
      <c r="N321" s="215"/>
    </row>
    <row r="322" spans="1:14" s="183" customFormat="1" x14ac:dyDescent="0.25">
      <c r="A322" s="212"/>
      <c r="B322" s="213"/>
      <c r="C322" s="213"/>
      <c r="D322" s="214"/>
      <c r="E322" s="214"/>
      <c r="F322" s="214"/>
      <c r="G322" s="214"/>
      <c r="H322" s="214"/>
      <c r="I322" s="214"/>
      <c r="J322" s="214"/>
      <c r="K322" s="214"/>
      <c r="L322" s="214"/>
      <c r="N322" s="215"/>
    </row>
    <row r="323" spans="1:14" s="183" customFormat="1" x14ac:dyDescent="0.25">
      <c r="A323" s="212"/>
      <c r="B323" s="213"/>
      <c r="C323" s="213"/>
      <c r="D323" s="214"/>
      <c r="E323" s="214"/>
      <c r="F323" s="214"/>
      <c r="G323" s="214"/>
      <c r="H323" s="214"/>
      <c r="I323" s="214"/>
      <c r="J323" s="214"/>
      <c r="K323" s="214"/>
      <c r="L323" s="214"/>
      <c r="N323" s="215"/>
    </row>
    <row r="324" spans="1:14" s="183" customFormat="1" x14ac:dyDescent="0.25">
      <c r="A324" s="212"/>
      <c r="B324" s="213"/>
      <c r="C324" s="213"/>
      <c r="D324" s="214"/>
      <c r="E324" s="214"/>
      <c r="F324" s="214"/>
      <c r="G324" s="214"/>
      <c r="H324" s="214"/>
      <c r="I324" s="214"/>
      <c r="J324" s="214"/>
      <c r="K324" s="214"/>
      <c r="L324" s="214"/>
      <c r="N324" s="215"/>
    </row>
    <row r="325" spans="1:14" s="183" customFormat="1" x14ac:dyDescent="0.25">
      <c r="A325" s="212"/>
      <c r="B325" s="213"/>
      <c r="C325" s="213"/>
      <c r="D325" s="214"/>
      <c r="E325" s="214"/>
      <c r="F325" s="214"/>
      <c r="G325" s="214"/>
      <c r="H325" s="214"/>
      <c r="I325" s="214"/>
      <c r="J325" s="214"/>
      <c r="K325" s="214"/>
      <c r="L325" s="214"/>
      <c r="N325" s="215"/>
    </row>
    <row r="326" spans="1:14" s="183" customFormat="1" x14ac:dyDescent="0.25">
      <c r="A326" s="212"/>
      <c r="B326" s="213"/>
      <c r="C326" s="213"/>
      <c r="D326" s="214"/>
      <c r="E326" s="214"/>
      <c r="F326" s="214"/>
      <c r="G326" s="214"/>
      <c r="H326" s="214"/>
      <c r="I326" s="214"/>
      <c r="J326" s="214"/>
      <c r="K326" s="214"/>
      <c r="L326" s="214"/>
      <c r="N326" s="215"/>
    </row>
    <row r="327" spans="1:14" s="183" customFormat="1" x14ac:dyDescent="0.25">
      <c r="A327" s="212"/>
      <c r="B327" s="213"/>
      <c r="C327" s="213"/>
      <c r="D327" s="214"/>
      <c r="E327" s="214"/>
      <c r="F327" s="214"/>
      <c r="G327" s="214"/>
      <c r="H327" s="214"/>
      <c r="I327" s="214"/>
      <c r="J327" s="214"/>
      <c r="K327" s="214"/>
      <c r="L327" s="214"/>
      <c r="N327" s="215"/>
    </row>
    <row r="328" spans="1:14" s="183" customFormat="1" x14ac:dyDescent="0.25">
      <c r="A328" s="212"/>
      <c r="B328" s="213"/>
      <c r="C328" s="213"/>
      <c r="D328" s="214"/>
      <c r="E328" s="214"/>
      <c r="F328" s="214"/>
      <c r="G328" s="214"/>
      <c r="H328" s="214"/>
      <c r="I328" s="214"/>
      <c r="J328" s="214"/>
      <c r="K328" s="214"/>
      <c r="L328" s="214"/>
      <c r="N328" s="215"/>
    </row>
    <row r="329" spans="1:14" s="183" customFormat="1" x14ac:dyDescent="0.25">
      <c r="A329" s="212"/>
      <c r="B329" s="213"/>
      <c r="C329" s="213"/>
      <c r="D329" s="214"/>
      <c r="E329" s="214"/>
      <c r="F329" s="214"/>
      <c r="G329" s="214"/>
      <c r="H329" s="214"/>
      <c r="I329" s="214"/>
      <c r="J329" s="214"/>
      <c r="K329" s="214"/>
      <c r="L329" s="214"/>
      <c r="N329" s="215"/>
    </row>
    <row r="330" spans="1:14" s="183" customFormat="1" x14ac:dyDescent="0.25">
      <c r="A330" s="212"/>
      <c r="B330" s="213"/>
      <c r="C330" s="213"/>
      <c r="D330" s="214"/>
      <c r="E330" s="214"/>
      <c r="F330" s="214"/>
      <c r="G330" s="214"/>
      <c r="H330" s="214"/>
      <c r="I330" s="214"/>
      <c r="J330" s="214"/>
      <c r="K330" s="214"/>
      <c r="L330" s="214"/>
      <c r="N330" s="215"/>
    </row>
    <row r="331" spans="1:14" s="183" customFormat="1" x14ac:dyDescent="0.25">
      <c r="A331" s="212"/>
      <c r="B331" s="213"/>
      <c r="C331" s="213"/>
      <c r="D331" s="214"/>
      <c r="E331" s="214"/>
      <c r="F331" s="214"/>
      <c r="G331" s="214"/>
      <c r="H331" s="214"/>
      <c r="I331" s="214"/>
      <c r="J331" s="214"/>
      <c r="K331" s="214"/>
      <c r="L331" s="214"/>
      <c r="N331" s="215"/>
    </row>
    <row r="332" spans="1:14" s="183" customFormat="1" x14ac:dyDescent="0.25">
      <c r="A332" s="212"/>
      <c r="B332" s="213"/>
      <c r="C332" s="213"/>
      <c r="D332" s="214"/>
      <c r="E332" s="214"/>
      <c r="F332" s="214"/>
      <c r="G332" s="214"/>
      <c r="H332" s="214"/>
      <c r="I332" s="214"/>
      <c r="J332" s="214"/>
      <c r="K332" s="214"/>
      <c r="L332" s="214"/>
      <c r="N332" s="215"/>
    </row>
    <row r="333" spans="1:14" s="183" customFormat="1" x14ac:dyDescent="0.25">
      <c r="A333" s="212"/>
      <c r="B333" s="213"/>
      <c r="C333" s="213"/>
      <c r="D333" s="214"/>
      <c r="E333" s="214"/>
      <c r="F333" s="214"/>
      <c r="G333" s="214"/>
      <c r="H333" s="214"/>
      <c r="I333" s="214"/>
      <c r="J333" s="214"/>
      <c r="K333" s="214"/>
      <c r="L333" s="214"/>
      <c r="N333" s="215"/>
    </row>
    <row r="334" spans="1:14" s="183" customFormat="1" x14ac:dyDescent="0.25">
      <c r="A334" s="212"/>
      <c r="B334" s="213"/>
      <c r="C334" s="213"/>
      <c r="D334" s="214"/>
      <c r="E334" s="214"/>
      <c r="F334" s="214"/>
      <c r="G334" s="214"/>
      <c r="H334" s="214"/>
      <c r="I334" s="214"/>
      <c r="J334" s="214"/>
      <c r="K334" s="214"/>
      <c r="L334" s="214"/>
      <c r="N334" s="215"/>
    </row>
    <row r="335" spans="1:14" s="183" customFormat="1" x14ac:dyDescent="0.25">
      <c r="A335" s="212"/>
      <c r="B335" s="213"/>
      <c r="C335" s="213"/>
      <c r="D335" s="214"/>
      <c r="E335" s="214"/>
      <c r="F335" s="214"/>
      <c r="G335" s="214"/>
      <c r="H335" s="214"/>
      <c r="I335" s="214"/>
      <c r="J335" s="214"/>
      <c r="K335" s="214"/>
      <c r="L335" s="214"/>
      <c r="N335" s="215"/>
    </row>
    <row r="336" spans="1:14" s="183" customFormat="1" x14ac:dyDescent="0.25">
      <c r="A336" s="212"/>
      <c r="B336" s="213"/>
      <c r="C336" s="213"/>
      <c r="D336" s="214"/>
      <c r="E336" s="214"/>
      <c r="F336" s="214"/>
      <c r="G336" s="214"/>
      <c r="H336" s="214"/>
      <c r="I336" s="214"/>
      <c r="J336" s="214"/>
      <c r="K336" s="214"/>
      <c r="L336" s="214"/>
      <c r="N336" s="215"/>
    </row>
    <row r="337" spans="1:14" s="183" customFormat="1" x14ac:dyDescent="0.25">
      <c r="A337" s="212"/>
      <c r="B337" s="213"/>
      <c r="C337" s="213"/>
      <c r="D337" s="214"/>
      <c r="E337" s="214"/>
      <c r="F337" s="214"/>
      <c r="G337" s="214"/>
      <c r="H337" s="214"/>
      <c r="I337" s="214"/>
      <c r="J337" s="214"/>
      <c r="K337" s="214"/>
      <c r="L337" s="214"/>
      <c r="N337" s="215"/>
    </row>
  </sheetData>
  <sheetProtection algorithmName="SHA-512" hashValue="rtdSIVwlYMk4J6NZvYsPjOpGwcP80hztW6HJllJGq5zDVEcjQLd/07Owj4gysjcvOJEi6pSxbIMvuT/CT2Z1BA==" saltValue="xws9LxDiNGtZELcq2ggiNA==" spinCount="100000" sheet="1" objects="1" scenarios="1" selectLockedCells="1"/>
  <mergeCells count="184">
    <mergeCell ref="B38:D40"/>
    <mergeCell ref="E38:G38"/>
    <mergeCell ref="E39:G39"/>
    <mergeCell ref="E40:G40"/>
    <mergeCell ref="B230:L230"/>
    <mergeCell ref="I144:I145"/>
    <mergeCell ref="B72:L73"/>
    <mergeCell ref="B86:L87"/>
    <mergeCell ref="B100:L101"/>
    <mergeCell ref="B127:L129"/>
    <mergeCell ref="B161:L162"/>
    <mergeCell ref="B175:L176"/>
    <mergeCell ref="B173:L173"/>
    <mergeCell ref="B203:L203"/>
    <mergeCell ref="B218:L218"/>
    <mergeCell ref="B228:L228"/>
    <mergeCell ref="B32:D34"/>
    <mergeCell ref="E32:G32"/>
    <mergeCell ref="E33:G33"/>
    <mergeCell ref="E34:G34"/>
    <mergeCell ref="C226:L226"/>
    <mergeCell ref="C222:L222"/>
    <mergeCell ref="C223:L223"/>
    <mergeCell ref="C224:L224"/>
    <mergeCell ref="C225:L225"/>
    <mergeCell ref="B187:L187"/>
    <mergeCell ref="K53:K54"/>
    <mergeCell ref="L53:L54"/>
    <mergeCell ref="B50:L51"/>
    <mergeCell ref="H207:H208"/>
    <mergeCell ref="I207:I208"/>
    <mergeCell ref="J207:J208"/>
    <mergeCell ref="K207:K208"/>
    <mergeCell ref="J56:J57"/>
    <mergeCell ref="K56:K57"/>
    <mergeCell ref="L56:L57"/>
    <mergeCell ref="H53:H54"/>
    <mergeCell ref="I53:I54"/>
    <mergeCell ref="J53:J54"/>
    <mergeCell ref="H144:H145"/>
    <mergeCell ref="B270:D270"/>
    <mergeCell ref="B233:L233"/>
    <mergeCell ref="B237:L237"/>
    <mergeCell ref="B236:D236"/>
    <mergeCell ref="B238:D238"/>
    <mergeCell ref="B239:D239"/>
    <mergeCell ref="B240:D240"/>
    <mergeCell ref="B242:D242"/>
    <mergeCell ref="B293:L294"/>
    <mergeCell ref="B258:B259"/>
    <mergeCell ref="B288:L289"/>
    <mergeCell ref="B263:L263"/>
    <mergeCell ref="B265:L265"/>
    <mergeCell ref="B250:D250"/>
    <mergeCell ref="B251:D251"/>
    <mergeCell ref="B254:L255"/>
    <mergeCell ref="B268:L269"/>
    <mergeCell ref="B273:L274"/>
    <mergeCell ref="B243:D243"/>
    <mergeCell ref="B244:D244"/>
    <mergeCell ref="B246:D246"/>
    <mergeCell ref="B247:D247"/>
    <mergeCell ref="B241:L241"/>
    <mergeCell ref="B245:L245"/>
    <mergeCell ref="B4:L4"/>
    <mergeCell ref="B5:L5"/>
    <mergeCell ref="B6:L6"/>
    <mergeCell ref="B114:L114"/>
    <mergeCell ref="B142:L142"/>
    <mergeCell ref="B148:L148"/>
    <mergeCell ref="B146:C146"/>
    <mergeCell ref="E43:G43"/>
    <mergeCell ref="E44:G44"/>
    <mergeCell ref="B16:L16"/>
    <mergeCell ref="B17:L17"/>
    <mergeCell ref="B22:L22"/>
    <mergeCell ref="B26:D28"/>
    <mergeCell ref="E26:G26"/>
    <mergeCell ref="E30:G30"/>
    <mergeCell ref="E31:G31"/>
    <mergeCell ref="E35:G35"/>
    <mergeCell ref="E36:G36"/>
    <mergeCell ref="B29:D31"/>
    <mergeCell ref="B35:D37"/>
    <mergeCell ref="B41:D43"/>
    <mergeCell ref="B44:D46"/>
    <mergeCell ref="E45:G45"/>
    <mergeCell ref="E46:G46"/>
    <mergeCell ref="B8:L8"/>
    <mergeCell ref="B9:L9"/>
    <mergeCell ref="B10:L10"/>
    <mergeCell ref="B12:L12"/>
    <mergeCell ref="B15:L15"/>
    <mergeCell ref="B234:D234"/>
    <mergeCell ref="B235:D235"/>
    <mergeCell ref="B59:L59"/>
    <mergeCell ref="E27:G27"/>
    <mergeCell ref="E28:G28"/>
    <mergeCell ref="E37:G37"/>
    <mergeCell ref="B205:L205"/>
    <mergeCell ref="B220:L220"/>
    <mergeCell ref="E29:G29"/>
    <mergeCell ref="B55:F55"/>
    <mergeCell ref="B209:E209"/>
    <mergeCell ref="B210:E210"/>
    <mergeCell ref="B211:E211"/>
    <mergeCell ref="B212:E212"/>
    <mergeCell ref="E41:G41"/>
    <mergeCell ref="E42:G42"/>
    <mergeCell ref="B202:L202"/>
    <mergeCell ref="B13:L14"/>
    <mergeCell ref="H24:H25"/>
    <mergeCell ref="C314:E314"/>
    <mergeCell ref="B307:D307"/>
    <mergeCell ref="B301:D301"/>
    <mergeCell ref="B302:D302"/>
    <mergeCell ref="B275:D275"/>
    <mergeCell ref="B280:D280"/>
    <mergeCell ref="B285:D285"/>
    <mergeCell ref="B290:D290"/>
    <mergeCell ref="B295:D295"/>
    <mergeCell ref="B305:D305"/>
    <mergeCell ref="B306:D306"/>
    <mergeCell ref="B287:D287"/>
    <mergeCell ref="B291:D291"/>
    <mergeCell ref="B292:D292"/>
    <mergeCell ref="B296:D296"/>
    <mergeCell ref="B297:D297"/>
    <mergeCell ref="B300:D300"/>
    <mergeCell ref="B276:D276"/>
    <mergeCell ref="B277:D277"/>
    <mergeCell ref="B281:D281"/>
    <mergeCell ref="B282:D282"/>
    <mergeCell ref="B286:D286"/>
    <mergeCell ref="B278:L279"/>
    <mergeCell ref="B313:B314"/>
    <mergeCell ref="C313:E313"/>
    <mergeCell ref="B217:L217"/>
    <mergeCell ref="B213:E213"/>
    <mergeCell ref="B214:E214"/>
    <mergeCell ref="B61:L68"/>
    <mergeCell ref="B75:L82"/>
    <mergeCell ref="B89:L96"/>
    <mergeCell ref="B103:L110"/>
    <mergeCell ref="B116:L123"/>
    <mergeCell ref="B131:L138"/>
    <mergeCell ref="B150:L157"/>
    <mergeCell ref="B164:L171"/>
    <mergeCell ref="B178:L185"/>
    <mergeCell ref="B192:L199"/>
    <mergeCell ref="E144:E145"/>
    <mergeCell ref="F144:F145"/>
    <mergeCell ref="G144:G145"/>
    <mergeCell ref="B252:D252"/>
    <mergeCell ref="C258:E258"/>
    <mergeCell ref="C259:E259"/>
    <mergeCell ref="B303:L304"/>
    <mergeCell ref="B309:L310"/>
    <mergeCell ref="B189:L190"/>
    <mergeCell ref="G207:G208"/>
    <mergeCell ref="B248:D248"/>
    <mergeCell ref="B271:D271"/>
    <mergeCell ref="B272:D272"/>
    <mergeCell ref="B249:L249"/>
    <mergeCell ref="B262:L262"/>
    <mergeCell ref="B283:L284"/>
    <mergeCell ref="B298:L299"/>
    <mergeCell ref="B20:L20"/>
    <mergeCell ref="B48:L48"/>
    <mergeCell ref="B70:L70"/>
    <mergeCell ref="B84:L84"/>
    <mergeCell ref="B98:L98"/>
    <mergeCell ref="B112:L112"/>
    <mergeCell ref="B125:L125"/>
    <mergeCell ref="B140:L140"/>
    <mergeCell ref="B159:L159"/>
    <mergeCell ref="I24:I25"/>
    <mergeCell ref="J24:J25"/>
    <mergeCell ref="K24:K25"/>
    <mergeCell ref="L24:L25"/>
    <mergeCell ref="B56:F57"/>
    <mergeCell ref="G56:G57"/>
    <mergeCell ref="H56:H57"/>
    <mergeCell ref="I56:I57"/>
  </mergeCells>
  <phoneticPr fontId="18" type="noConversion"/>
  <conditionalFormatting sqref="F258:I259">
    <cfRule type="cellIs" dxfId="4" priority="6" operator="equal">
      <formula>"Error"</formula>
    </cfRule>
  </conditionalFormatting>
  <conditionalFormatting sqref="F313:I314">
    <cfRule type="cellIs" dxfId="3" priority="2"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13:I314 E250:L252 E146:I146 G209:K214 F258:I259 E305:L307 H26:L46 E234:L236 E238:L240 E242:L244 E246:L248 E270:L272 E275:L277 E280:L282 E285:L287 E290:L292 E295:L297 E300:L302 H55:L56"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1:B63 B75 B89 B103 B116 B131 B150 B164 B178 B192 B78:B79 B92:B93" xr:uid="{0E1763AA-C851-4790-9B75-66F32446FBF7}">
      <formula1>1000</formula1>
    </dataValidation>
    <dataValidation allowBlank="1" sqref="C222:L226" xr:uid="{5CCAA9D5-B3B6-43F5-9B5F-25425BEC929B}"/>
  </dataValidations>
  <printOptions horizontalCentered="1"/>
  <pageMargins left="0.25" right="0.25" top="0.75" bottom="0.75" header="0.3" footer="0.3"/>
  <pageSetup scale="63" firstPageNumber="18" fitToHeight="0" orientation="portrait" r:id="rId1"/>
  <headerFooter>
    <oddFooter>&amp;L&amp;A</oddFooter>
  </headerFooter>
  <rowBreaks count="5" manualBreakCount="5">
    <brk id="69" min="1" max="10" man="1"/>
    <brk id="124" min="1" max="11" man="1"/>
    <brk id="172" min="1" max="11" man="1"/>
    <brk id="227" min="1" max="11" man="1"/>
    <brk id="26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S356"/>
  <sheetViews>
    <sheetView showGridLines="0" zoomScaleNormal="100" zoomScaleSheetLayoutView="55"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30.5703125" style="2" hidden="1" customWidth="1"/>
    <col min="17" max="17" width="8.5703125" style="2" customWidth="1"/>
    <col min="18" max="16384" width="9.28515625" style="2"/>
  </cols>
  <sheetData>
    <row r="1" spans="1:16" x14ac:dyDescent="0.25">
      <c r="O1" s="3" t="s">
        <v>169</v>
      </c>
      <c r="P1" s="3" t="s">
        <v>170</v>
      </c>
    </row>
    <row r="2" spans="1:16" x14ac:dyDescent="0.25">
      <c r="B2" s="27" t="str">
        <f>'Pro 1'!B2</f>
        <v>PROTÉGÉ</v>
      </c>
      <c r="C2" s="27"/>
      <c r="D2" s="27"/>
      <c r="O2" s="9"/>
      <c r="P2" s="9"/>
    </row>
    <row r="3" spans="1:16" x14ac:dyDescent="0.25">
      <c r="B3" s="28"/>
      <c r="C3" s="28"/>
      <c r="D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VAISSELLE EN FIBRE MOULÉE THERMOFORMÉE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Les questions suivantes font référence aux marchandises comme définies dans la description du produit de l'onglet Intro.</v>
      </c>
      <c r="C8" s="792"/>
      <c r="D8" s="792"/>
      <c r="E8" s="792"/>
      <c r="F8" s="792"/>
      <c r="G8" s="792"/>
      <c r="H8" s="792"/>
      <c r="I8" s="792"/>
      <c r="J8" s="792"/>
      <c r="K8" s="792"/>
      <c r="L8" s="792"/>
      <c r="M8" s="17"/>
      <c r="N8" s="17"/>
      <c r="O8" s="19"/>
      <c r="P8" s="19"/>
    </row>
    <row r="9" spans="1:16" s="18" customFormat="1" x14ac:dyDescent="0.25">
      <c r="A9" s="20"/>
      <c r="B9" s="792" t="str">
        <f>Public!B9</f>
        <v>Des informations sur le produit et un glossaire de termes sont disponibles dans l'onglet Info.</v>
      </c>
      <c r="C9" s="792"/>
      <c r="D9" s="792"/>
      <c r="E9" s="792"/>
      <c r="F9" s="792"/>
      <c r="G9" s="792"/>
      <c r="H9" s="792"/>
      <c r="I9" s="792"/>
      <c r="J9" s="792"/>
      <c r="K9" s="792"/>
      <c r="L9" s="792"/>
      <c r="M9" s="17"/>
      <c r="N9" s="17"/>
      <c r="O9" s="19"/>
    </row>
    <row r="10" spans="1:16" s="18" customFormat="1" x14ac:dyDescent="0.25">
      <c r="A10" s="20"/>
      <c r="B10" s="792" t="str">
        <f>'Pro 1'!B10</f>
        <v xml:space="preserve">Utilisez l'onglet AddPro si vous avez besoin de plus d'espace.
</v>
      </c>
      <c r="C10" s="792"/>
      <c r="D10" s="792"/>
      <c r="E10" s="792"/>
      <c r="F10" s="792"/>
      <c r="G10" s="792"/>
      <c r="H10" s="792"/>
      <c r="I10" s="792"/>
      <c r="J10" s="792"/>
      <c r="K10" s="792"/>
      <c r="L10" s="792"/>
      <c r="M10" s="17"/>
      <c r="N10" s="17"/>
      <c r="O10" s="19"/>
      <c r="P10" s="19"/>
    </row>
    <row r="11" spans="1:16" s="18" customFormat="1" x14ac:dyDescent="0.25">
      <c r="A11" s="20"/>
      <c r="B11" s="191"/>
      <c r="C11" s="191"/>
      <c r="D11" s="191"/>
      <c r="E11" s="38"/>
      <c r="F11" s="38"/>
      <c r="G11" s="38"/>
      <c r="H11" s="38"/>
      <c r="I11" s="38"/>
      <c r="J11" s="38"/>
      <c r="K11" s="38"/>
      <c r="L11" s="38"/>
      <c r="M11" s="17"/>
      <c r="N11" s="17"/>
      <c r="O11" s="19"/>
      <c r="P11" s="19"/>
    </row>
    <row r="12" spans="1:16" s="18" customFormat="1" x14ac:dyDescent="0.25">
      <c r="A12" s="20"/>
      <c r="B12" s="792" t="str">
        <f>'Pro 2'!B12</f>
        <v>Pour les questions de cet onglet, notez ce qui suit :</v>
      </c>
      <c r="C12" s="792"/>
      <c r="D12" s="792"/>
      <c r="E12" s="792"/>
      <c r="F12" s="792"/>
      <c r="G12" s="792"/>
      <c r="H12" s="792"/>
      <c r="I12" s="792"/>
      <c r="J12" s="792"/>
      <c r="K12" s="792"/>
      <c r="L12" s="792"/>
      <c r="M12" s="17"/>
      <c r="N12" s="17"/>
      <c r="O12" s="19"/>
      <c r="P12" s="19"/>
    </row>
    <row r="13" spans="1:16" s="18" customFormat="1" x14ac:dyDescent="0.25">
      <c r="A13" s="175"/>
      <c r="B13" s="905" t="str">
        <f>IF(Intro!$G$21="English",O13,P13)</f>
        <v xml:space="preserve">• Les états doivent être établis selon la méthode du coût d'absorption totale et doivent être déclarés sur la base de l'année civile. </v>
      </c>
      <c r="C13" s="905"/>
      <c r="D13" s="905"/>
      <c r="E13" s="905"/>
      <c r="F13" s="905"/>
      <c r="G13" s="905"/>
      <c r="H13" s="905"/>
      <c r="I13" s="905"/>
      <c r="J13" s="905"/>
      <c r="K13" s="905"/>
      <c r="L13" s="905"/>
      <c r="M13" s="17"/>
      <c r="N13" s="17"/>
      <c r="O13" s="19" t="s">
        <v>622</v>
      </c>
      <c r="P13" s="19" t="s">
        <v>623</v>
      </c>
    </row>
    <row r="14" spans="1:16" s="18" customFormat="1" x14ac:dyDescent="0.25">
      <c r="A14" s="20"/>
      <c r="B14" s="792" t="str">
        <f>'Pro 2'!B17</f>
        <v>• Déclarez toutes les valeurs en dollars canadiens (CAD).</v>
      </c>
      <c r="C14" s="792"/>
      <c r="D14" s="792"/>
      <c r="E14" s="792"/>
      <c r="F14" s="792"/>
      <c r="G14" s="792"/>
      <c r="H14" s="792"/>
      <c r="I14" s="792"/>
      <c r="J14" s="792"/>
      <c r="K14" s="792"/>
      <c r="L14" s="792"/>
      <c r="M14" s="17"/>
      <c r="N14" s="17"/>
      <c r="O14" s="19"/>
      <c r="P14" s="19"/>
    </row>
    <row r="15" spans="1:16" s="10" customFormat="1" x14ac:dyDescent="0.25">
      <c r="A15" s="20"/>
      <c r="B15" s="29"/>
      <c r="C15" s="29"/>
      <c r="D15" s="29"/>
      <c r="E15" s="30"/>
      <c r="F15" s="30"/>
      <c r="G15" s="30"/>
      <c r="H15" s="30"/>
      <c r="I15" s="30"/>
      <c r="J15" s="30"/>
      <c r="K15" s="30"/>
      <c r="L15" s="30"/>
      <c r="O15" s="11"/>
      <c r="P15" s="11"/>
    </row>
    <row r="16" spans="1:16" x14ac:dyDescent="0.25">
      <c r="B16" s="678" t="str">
        <f>IF(Intro!$G$21="English",O16,P16)</f>
        <v>ÉTAT DES RÉSULTATS POUR L'ENSEMBLE DE L'ENTREPRISE</v>
      </c>
      <c r="C16" s="679"/>
      <c r="D16" s="679"/>
      <c r="E16" s="679"/>
      <c r="F16" s="679"/>
      <c r="G16" s="679"/>
      <c r="H16" s="679"/>
      <c r="I16" s="679"/>
      <c r="J16" s="679"/>
      <c r="K16" s="679"/>
      <c r="L16" s="680"/>
      <c r="M16" s="157"/>
      <c r="O16" s="2" t="s">
        <v>46</v>
      </c>
      <c r="P16" s="2" t="s">
        <v>47</v>
      </c>
    </row>
    <row r="17" spans="1:16" x14ac:dyDescent="0.25">
      <c r="B17" s="770" t="s">
        <v>20</v>
      </c>
      <c r="C17" s="771"/>
      <c r="D17" s="771"/>
      <c r="E17" s="771"/>
      <c r="F17" s="771"/>
      <c r="G17" s="771"/>
      <c r="H17" s="771"/>
      <c r="I17" s="771"/>
      <c r="J17" s="771"/>
      <c r="K17" s="771"/>
      <c r="L17" s="772"/>
      <c r="M17" s="2"/>
    </row>
    <row r="18" spans="1:16" s="12" customFormat="1" x14ac:dyDescent="0.25">
      <c r="A18" s="14"/>
      <c r="B18" s="31"/>
      <c r="C18" s="32"/>
      <c r="D18" s="32"/>
      <c r="E18" s="33"/>
      <c r="F18" s="33"/>
      <c r="G18" s="33"/>
      <c r="H18" s="33"/>
      <c r="I18" s="33"/>
      <c r="J18" s="33"/>
      <c r="K18" s="33"/>
      <c r="L18" s="34"/>
    </row>
    <row r="19" spans="1:16" s="12" customFormat="1" x14ac:dyDescent="0.25">
      <c r="A19" s="14"/>
      <c r="B19" s="672" t="str">
        <f>IF(Intro!$G$21="English",O19,P19)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673"/>
      <c r="D19" s="673"/>
      <c r="E19" s="673"/>
      <c r="F19" s="673"/>
      <c r="G19" s="673"/>
      <c r="H19" s="673"/>
      <c r="I19" s="673"/>
      <c r="J19" s="673"/>
      <c r="K19" s="673"/>
      <c r="L19" s="674"/>
      <c r="O19" s="13" t="s">
        <v>210</v>
      </c>
      <c r="P19" s="12" t="s">
        <v>211</v>
      </c>
    </row>
    <row r="20" spans="1:16" s="12" customFormat="1" x14ac:dyDescent="0.25">
      <c r="A20" s="14"/>
      <c r="B20" s="672"/>
      <c r="C20" s="673"/>
      <c r="D20" s="673"/>
      <c r="E20" s="673"/>
      <c r="F20" s="673"/>
      <c r="G20" s="673"/>
      <c r="H20" s="673"/>
      <c r="I20" s="673"/>
      <c r="J20" s="673"/>
      <c r="K20" s="673"/>
      <c r="L20" s="674"/>
      <c r="O20" s="13"/>
    </row>
    <row r="21" spans="1:16" s="12" customFormat="1" x14ac:dyDescent="0.25">
      <c r="A21" s="14"/>
      <c r="B21" s="186"/>
      <c r="C21" s="187"/>
      <c r="D21" s="32"/>
      <c r="E21" s="33"/>
      <c r="F21" s="33"/>
      <c r="G21" s="33"/>
      <c r="H21" s="33"/>
      <c r="I21" s="33"/>
      <c r="J21" s="33"/>
      <c r="K21" s="33"/>
      <c r="L21" s="34"/>
      <c r="O21" s="13"/>
    </row>
    <row r="22" spans="1:16" s="12" customFormat="1" x14ac:dyDescent="0.25">
      <c r="A22" s="14"/>
      <c r="B22" s="186"/>
      <c r="C22" s="187"/>
      <c r="D22" s="32"/>
      <c r="G22" s="831">
        <f>Variables!$B$6</f>
        <v>2022</v>
      </c>
      <c r="H22" s="831">
        <f>G22+1</f>
        <v>2023</v>
      </c>
      <c r="I22" s="831">
        <f>H22+1</f>
        <v>2024</v>
      </c>
      <c r="J22" s="831" t="str">
        <f>IF(Intro!$G$21="English",Variables!B9,Variables!C9)</f>
        <v>janv-sept 2024</v>
      </c>
      <c r="K22" s="831" t="str">
        <f>IF(Intro!$G$21="English",Variables!B10,Variables!C10)</f>
        <v>janv-sept 2025</v>
      </c>
      <c r="L22" s="211"/>
      <c r="O22" s="13"/>
    </row>
    <row r="23" spans="1:16" s="12" customFormat="1" x14ac:dyDescent="0.25">
      <c r="A23" s="14"/>
      <c r="B23" s="261"/>
      <c r="C23" s="262"/>
      <c r="D23" s="32"/>
      <c r="G23" s="831"/>
      <c r="H23" s="831"/>
      <c r="I23" s="831"/>
      <c r="J23" s="831"/>
      <c r="K23" s="831"/>
      <c r="L23" s="211"/>
      <c r="O23" s="13"/>
    </row>
    <row r="24" spans="1:16" s="157" customFormat="1" x14ac:dyDescent="0.25">
      <c r="A24" s="200"/>
      <c r="B24" s="898" t="str">
        <f>IF(Intro!$G$21="English",O24,P24)</f>
        <v>Valeur de vente nette</v>
      </c>
      <c r="C24" s="899"/>
      <c r="D24" s="899"/>
      <c r="E24" s="900"/>
      <c r="F24" s="289" t="s">
        <v>594</v>
      </c>
      <c r="G24" s="279"/>
      <c r="H24" s="279"/>
      <c r="I24" s="279"/>
      <c r="J24" s="279"/>
      <c r="K24" s="279"/>
      <c r="L24" s="211"/>
      <c r="O24" s="157" t="s">
        <v>48</v>
      </c>
      <c r="P24" s="157" t="s">
        <v>73</v>
      </c>
    </row>
    <row r="25" spans="1:16" s="157" customFormat="1" x14ac:dyDescent="0.25">
      <c r="A25" s="200"/>
      <c r="B25" s="898" t="str">
        <f>IF(Intro!$G$21="English",O25,P25)</f>
        <v>Coût des marchandises vendues</v>
      </c>
      <c r="C25" s="899"/>
      <c r="D25" s="899"/>
      <c r="E25" s="900"/>
      <c r="F25" s="289" t="s">
        <v>594</v>
      </c>
      <c r="G25" s="279"/>
      <c r="H25" s="279"/>
      <c r="I25" s="279"/>
      <c r="J25" s="279"/>
      <c r="K25" s="279"/>
      <c r="L25" s="211"/>
      <c r="O25" s="157" t="s">
        <v>49</v>
      </c>
      <c r="P25" s="157" t="s">
        <v>50</v>
      </c>
    </row>
    <row r="26" spans="1:16" s="181" customFormat="1" x14ac:dyDescent="0.25">
      <c r="A26" s="217"/>
      <c r="B26" s="901" t="str">
        <f>IF(Intro!$G$21="English",O26,P26)</f>
        <v>Marge bénéficiaire brute (perte brute)</v>
      </c>
      <c r="C26" s="902"/>
      <c r="D26" s="902"/>
      <c r="E26" s="903"/>
      <c r="F26" s="289" t="s">
        <v>594</v>
      </c>
      <c r="G26" s="294">
        <f>G24-G25</f>
        <v>0</v>
      </c>
      <c r="H26" s="294">
        <f>H24-H25</f>
        <v>0</v>
      </c>
      <c r="I26" s="294">
        <f>I24-I25</f>
        <v>0</v>
      </c>
      <c r="J26" s="294">
        <f>J24-J25</f>
        <v>0</v>
      </c>
      <c r="K26" s="294">
        <f>K24-K25</f>
        <v>0</v>
      </c>
      <c r="L26" s="211"/>
      <c r="O26" s="181" t="s">
        <v>51</v>
      </c>
      <c r="P26" s="181" t="s">
        <v>52</v>
      </c>
    </row>
    <row r="27" spans="1:16" s="157" customFormat="1" x14ac:dyDescent="0.25">
      <c r="A27" s="200"/>
      <c r="B27" s="898" t="str">
        <f>IF(Intro!$G$21="English",O27,P27)</f>
        <v>Frais généraux, de vente, et d'administration</v>
      </c>
      <c r="C27" s="899"/>
      <c r="D27" s="899"/>
      <c r="E27" s="900"/>
      <c r="F27" s="289" t="s">
        <v>594</v>
      </c>
      <c r="G27" s="279"/>
      <c r="H27" s="279"/>
      <c r="I27" s="279"/>
      <c r="J27" s="279"/>
      <c r="K27" s="279"/>
      <c r="L27" s="211"/>
      <c r="O27" s="157" t="s">
        <v>53</v>
      </c>
      <c r="P27" s="157" t="s">
        <v>54</v>
      </c>
    </row>
    <row r="28" spans="1:16" s="157" customFormat="1" x14ac:dyDescent="0.25">
      <c r="A28" s="200"/>
      <c r="B28" s="898" t="str">
        <f>IF(Intro!$G$21="English",O28,P28)</f>
        <v>Charges financières</v>
      </c>
      <c r="C28" s="899"/>
      <c r="D28" s="899"/>
      <c r="E28" s="900"/>
      <c r="F28" s="289" t="s">
        <v>594</v>
      </c>
      <c r="G28" s="279"/>
      <c r="H28" s="279"/>
      <c r="I28" s="279"/>
      <c r="J28" s="279"/>
      <c r="K28" s="279"/>
      <c r="L28" s="211"/>
      <c r="O28" s="157" t="s">
        <v>55</v>
      </c>
      <c r="P28" s="157" t="s">
        <v>56</v>
      </c>
    </row>
    <row r="29" spans="1:16" s="157" customFormat="1" x14ac:dyDescent="0.25">
      <c r="A29" s="200"/>
      <c r="B29" s="898" t="str">
        <f>IF(Intro!$G$21="English",O29,P29)</f>
        <v>Autres dépenses</v>
      </c>
      <c r="C29" s="899"/>
      <c r="D29" s="899"/>
      <c r="E29" s="900"/>
      <c r="F29" s="289" t="s">
        <v>594</v>
      </c>
      <c r="G29" s="279"/>
      <c r="H29" s="279"/>
      <c r="I29" s="279"/>
      <c r="J29" s="279"/>
      <c r="K29" s="279"/>
      <c r="L29" s="211"/>
      <c r="O29" s="157" t="s">
        <v>116</v>
      </c>
      <c r="P29" s="157" t="s">
        <v>117</v>
      </c>
    </row>
    <row r="30" spans="1:16" s="181" customFormat="1" x14ac:dyDescent="0.25">
      <c r="A30" s="217"/>
      <c r="B30" s="901" t="str">
        <f>IF(Intro!$G$21="English",O30,P30)</f>
        <v>Revenu net (perte nette) avant impôts</v>
      </c>
      <c r="C30" s="902"/>
      <c r="D30" s="902"/>
      <c r="E30" s="903"/>
      <c r="F30" s="289" t="s">
        <v>594</v>
      </c>
      <c r="G30" s="294">
        <f>G26-G27-G28-G29</f>
        <v>0</v>
      </c>
      <c r="H30" s="294">
        <f>H26-H27-H28-H29</f>
        <v>0</v>
      </c>
      <c r="I30" s="294">
        <f>I26-I27-I28-I29</f>
        <v>0</v>
      </c>
      <c r="J30" s="294">
        <f>J26-J27-J28-J29</f>
        <v>0</v>
      </c>
      <c r="K30" s="294">
        <f>K26-K27-K28-K29</f>
        <v>0</v>
      </c>
      <c r="L30" s="211"/>
      <c r="O30" s="181" t="s">
        <v>57</v>
      </c>
      <c r="P30" s="181" t="s">
        <v>58</v>
      </c>
    </row>
    <row r="31" spans="1:16" s="157" customFormat="1" x14ac:dyDescent="0.25">
      <c r="A31" s="200"/>
      <c r="B31" s="207"/>
      <c r="C31" s="208"/>
      <c r="D31" s="208"/>
      <c r="E31" s="208"/>
      <c r="F31" s="208"/>
      <c r="G31" s="208"/>
      <c r="H31" s="208"/>
      <c r="I31" s="208"/>
      <c r="J31" s="208"/>
      <c r="K31" s="208"/>
      <c r="L31" s="209"/>
    </row>
    <row r="32" spans="1:16" s="3" customFormat="1" x14ac:dyDescent="0.25">
      <c r="A32" s="14"/>
      <c r="B32" s="767" t="s">
        <v>21</v>
      </c>
      <c r="C32" s="768"/>
      <c r="D32" s="768"/>
      <c r="E32" s="768"/>
      <c r="F32" s="768"/>
      <c r="G32" s="768"/>
      <c r="H32" s="768"/>
      <c r="I32" s="768"/>
      <c r="J32" s="768"/>
      <c r="K32" s="768"/>
      <c r="L32" s="769"/>
      <c r="M32" s="216"/>
      <c r="O32" s="157"/>
    </row>
    <row r="33" spans="1:16" s="157" customFormat="1" x14ac:dyDescent="0.25">
      <c r="A33" s="200"/>
      <c r="B33" s="201"/>
      <c r="C33" s="202"/>
      <c r="D33" s="202"/>
      <c r="E33" s="202"/>
      <c r="F33" s="202"/>
      <c r="G33" s="202"/>
      <c r="H33" s="202"/>
      <c r="I33" s="202"/>
      <c r="J33" s="202"/>
      <c r="K33" s="202"/>
      <c r="L33" s="203"/>
    </row>
    <row r="34" spans="1:16" s="157" customFormat="1" x14ac:dyDescent="0.25">
      <c r="A34" s="200"/>
      <c r="B34" s="694" t="str">
        <f>IF(Intro!$G$21="English",O34,P34)</f>
        <v>Présentez les états financiers vérifiés pour l'ensemble de l'entreprise pour chaque exercice depuis le 1er janvier 2022. Si votre entreprise ne prépare pas habituellement d’états vérifiés, soumettez des états non vérifiés équivalents.</v>
      </c>
      <c r="C34" s="695"/>
      <c r="D34" s="695"/>
      <c r="E34" s="695"/>
      <c r="F34" s="695"/>
      <c r="G34" s="695"/>
      <c r="H34" s="695"/>
      <c r="I34" s="695"/>
      <c r="J34" s="695"/>
      <c r="K34" s="695"/>
      <c r="L34" s="696"/>
      <c r="O34" s="157" t="str">
        <f>"Submit audited financial statements for your total firm for each fiscal year since January 1, "&amp;Variables!B6&amp;". If unavailable, provide the equivalent unaudited statements."</f>
        <v>Submit audited financial statements for your total firm for each fiscal year since January 1, 2022. If unavailable, provide the equivalent unaudited statements.</v>
      </c>
      <c r="P34" s="15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2022. Si votre entreprise ne prépare pas habituellement d’états vérifiés, soumettez des états non vérifiés équivalents.</v>
      </c>
    </row>
    <row r="35" spans="1:16" s="157" customFormat="1" x14ac:dyDescent="0.25">
      <c r="A35" s="200"/>
      <c r="B35" s="694"/>
      <c r="C35" s="695"/>
      <c r="D35" s="695"/>
      <c r="E35" s="695"/>
      <c r="F35" s="695"/>
      <c r="G35" s="695"/>
      <c r="H35" s="695"/>
      <c r="I35" s="695"/>
      <c r="J35" s="695"/>
      <c r="K35" s="695"/>
      <c r="L35" s="696"/>
    </row>
    <row r="36" spans="1:16" s="157" customFormat="1" x14ac:dyDescent="0.25">
      <c r="A36" s="200"/>
      <c r="B36" s="207"/>
      <c r="C36" s="208"/>
      <c r="D36" s="208"/>
      <c r="E36" s="208"/>
      <c r="F36" s="208"/>
      <c r="G36" s="208"/>
      <c r="H36" s="208"/>
      <c r="I36" s="208"/>
      <c r="J36" s="208"/>
      <c r="K36" s="208"/>
      <c r="L36" s="209"/>
    </row>
    <row r="37" spans="1:16" s="3" customFormat="1" x14ac:dyDescent="0.25">
      <c r="A37" s="14"/>
      <c r="B37" s="218"/>
      <c r="C37" s="218"/>
      <c r="D37" s="218"/>
      <c r="E37" s="219"/>
      <c r="F37" s="219"/>
      <c r="G37" s="219"/>
      <c r="H37" s="219"/>
      <c r="I37" s="219"/>
      <c r="J37" s="219"/>
      <c r="K37" s="219"/>
      <c r="L37" s="219"/>
      <c r="M37" s="216"/>
    </row>
    <row r="38" spans="1:16" x14ac:dyDescent="0.25">
      <c r="B38" s="888" t="str">
        <f>IF(Intro!$G$21="English",O38,P38)</f>
        <v>COÛT DES MARCHANDISES FABRIQUÉES DES MARCHANDISES</v>
      </c>
      <c r="C38" s="889"/>
      <c r="D38" s="889"/>
      <c r="E38" s="889"/>
      <c r="F38" s="889"/>
      <c r="G38" s="889"/>
      <c r="H38" s="889"/>
      <c r="I38" s="889"/>
      <c r="J38" s="889"/>
      <c r="K38" s="889"/>
      <c r="L38" s="890"/>
      <c r="M38" s="157"/>
      <c r="O38" s="257" t="s">
        <v>705</v>
      </c>
      <c r="P38" s="257" t="s">
        <v>706</v>
      </c>
    </row>
    <row r="39" spans="1:16" x14ac:dyDescent="0.25">
      <c r="B39" s="767" t="s">
        <v>26</v>
      </c>
      <c r="C39" s="768"/>
      <c r="D39" s="768"/>
      <c r="E39" s="768"/>
      <c r="F39" s="768"/>
      <c r="G39" s="768"/>
      <c r="H39" s="768"/>
      <c r="I39" s="768"/>
      <c r="J39" s="768"/>
      <c r="K39" s="768"/>
      <c r="L39" s="769"/>
      <c r="M39" s="2"/>
    </row>
    <row r="40" spans="1:16" s="12" customFormat="1" x14ac:dyDescent="0.25">
      <c r="A40" s="14"/>
      <c r="B40" s="31"/>
      <c r="C40" s="32"/>
      <c r="D40" s="32"/>
      <c r="E40" s="33"/>
      <c r="F40" s="33"/>
      <c r="G40" s="33"/>
      <c r="H40" s="33"/>
      <c r="I40" s="33"/>
      <c r="J40" s="33"/>
      <c r="K40" s="33"/>
      <c r="L40" s="34"/>
    </row>
    <row r="41" spans="1:16" s="12" customFormat="1" x14ac:dyDescent="0.25">
      <c r="A41" s="14"/>
      <c r="B41" s="672" t="str">
        <f>IF(Intro!$G$21="English",O41,P41)</f>
        <v>Fournissez l'état du coût des marchandises fabriquées de votre entreprise pour ses ventes au Canada et à l'exportation des marchandises produites au Canada.</v>
      </c>
      <c r="C41" s="673"/>
      <c r="D41" s="673"/>
      <c r="E41" s="673"/>
      <c r="F41" s="673"/>
      <c r="G41" s="673"/>
      <c r="H41" s="673"/>
      <c r="I41" s="673"/>
      <c r="J41" s="673"/>
      <c r="K41" s="673"/>
      <c r="L41" s="674"/>
      <c r="O41" s="13" t="s">
        <v>446</v>
      </c>
      <c r="P41" s="12" t="s">
        <v>162</v>
      </c>
    </row>
    <row r="42" spans="1:16" s="12" customFormat="1" x14ac:dyDescent="0.25">
      <c r="A42" s="14"/>
      <c r="B42" s="186"/>
      <c r="C42" s="187"/>
      <c r="D42" s="32"/>
      <c r="E42" s="33"/>
      <c r="F42" s="33"/>
      <c r="G42" s="33"/>
      <c r="H42" s="33"/>
      <c r="I42" s="33"/>
      <c r="J42" s="33"/>
      <c r="K42" s="33"/>
      <c r="L42" s="34"/>
      <c r="O42" s="13"/>
    </row>
    <row r="43" spans="1:16" s="12" customFormat="1" x14ac:dyDescent="0.25">
      <c r="A43" s="14"/>
      <c r="B43" s="897" t="str">
        <f>IF(Intro!$G$21="English",O43,P43)</f>
        <v>Pour les ventes au Canada</v>
      </c>
      <c r="C43" s="831"/>
      <c r="D43" s="831"/>
      <c r="E43" s="831"/>
      <c r="F43" s="831"/>
      <c r="G43" s="831"/>
      <c r="H43" s="831">
        <f>Variables!$B$6</f>
        <v>2022</v>
      </c>
      <c r="I43" s="831">
        <f>H43+1</f>
        <v>2023</v>
      </c>
      <c r="J43" s="831">
        <f>I43+1</f>
        <v>2024</v>
      </c>
      <c r="K43" s="831" t="str">
        <f>J22</f>
        <v>janv-sept 2024</v>
      </c>
      <c r="L43" s="846" t="str">
        <f>K22</f>
        <v>janv-sept 2025</v>
      </c>
      <c r="O43" s="13" t="s">
        <v>43</v>
      </c>
      <c r="P43" s="13" t="s">
        <v>44</v>
      </c>
    </row>
    <row r="44" spans="1:16" s="12" customFormat="1" x14ac:dyDescent="0.25">
      <c r="A44" s="14"/>
      <c r="B44" s="897"/>
      <c r="C44" s="831"/>
      <c r="D44" s="831"/>
      <c r="E44" s="831"/>
      <c r="F44" s="831"/>
      <c r="G44" s="831"/>
      <c r="H44" s="831"/>
      <c r="I44" s="831"/>
      <c r="J44" s="831"/>
      <c r="K44" s="831"/>
      <c r="L44" s="846"/>
      <c r="O44" s="13"/>
      <c r="P44" s="13"/>
    </row>
    <row r="45" spans="1:16" s="157" customFormat="1" x14ac:dyDescent="0.25">
      <c r="A45" s="200"/>
      <c r="B45" s="886" t="str">
        <f>IF(Intro!$G$21="English",O45,P45)</f>
        <v>Stock d'ouverture des marchandises en cours de fabrication</v>
      </c>
      <c r="C45" s="887"/>
      <c r="D45" s="887"/>
      <c r="E45" s="887"/>
      <c r="F45" s="887"/>
      <c r="G45" s="270" t="s">
        <v>594</v>
      </c>
      <c r="H45" s="276"/>
      <c r="I45" s="276"/>
      <c r="J45" s="276"/>
      <c r="K45" s="276"/>
      <c r="L45" s="290"/>
      <c r="O45" s="157" t="s">
        <v>59</v>
      </c>
      <c r="P45" s="157" t="s">
        <v>60</v>
      </c>
    </row>
    <row r="46" spans="1:16" s="157" customFormat="1" x14ac:dyDescent="0.25">
      <c r="A46" s="200"/>
      <c r="B46" s="886" t="str">
        <f>IF(Intro!$G$21="English",O46,P46)</f>
        <v xml:space="preserve">La matière directe utilisée 1 - </v>
      </c>
      <c r="C46" s="904"/>
      <c r="D46" s="904"/>
      <c r="E46" s="904"/>
      <c r="F46" s="904"/>
      <c r="G46" s="270" t="s">
        <v>594</v>
      </c>
      <c r="H46" s="276"/>
      <c r="I46" s="276"/>
      <c r="J46" s="341"/>
      <c r="K46" s="276"/>
      <c r="L46" s="290"/>
      <c r="O46" s="13" t="str">
        <f>"Direct material used 1 - "&amp;Public!D165</f>
        <v xml:space="preserve">Direct material used 1 - </v>
      </c>
      <c r="P46" s="12" t="str">
        <f>"La matière directe utilisée 1 - "&amp;Public!D165</f>
        <v xml:space="preserve">La matière directe utilisée 1 - </v>
      </c>
    </row>
    <row r="47" spans="1:16" s="157" customFormat="1" x14ac:dyDescent="0.25">
      <c r="A47" s="200"/>
      <c r="B47" s="886" t="str">
        <f>IF(Intro!$G$21="English",O47,P47)</f>
        <v xml:space="preserve">La matière directe utilisée 2 - </v>
      </c>
      <c r="C47" s="904"/>
      <c r="D47" s="904"/>
      <c r="E47" s="904"/>
      <c r="F47" s="904"/>
      <c r="G47" s="270" t="s">
        <v>594</v>
      </c>
      <c r="H47" s="276"/>
      <c r="I47" s="276"/>
      <c r="J47" s="276"/>
      <c r="K47" s="276"/>
      <c r="L47" s="290"/>
      <c r="O47" s="13" t="str">
        <f>"Direct material used 2 - "&amp;Public!D166</f>
        <v xml:space="preserve">Direct material used 2 - </v>
      </c>
      <c r="P47" s="12" t="str">
        <f>"La matière directe utilisée 2 - "&amp;Public!D166</f>
        <v xml:space="preserve">La matière directe utilisée 2 - </v>
      </c>
    </row>
    <row r="48" spans="1:16" s="157" customFormat="1" x14ac:dyDescent="0.25">
      <c r="A48" s="200"/>
      <c r="B48" s="886" t="str">
        <f>IF(Intro!$G$21="English",O48,P48)</f>
        <v xml:space="preserve">La matière directe utilisée 3 - </v>
      </c>
      <c r="C48" s="904"/>
      <c r="D48" s="904"/>
      <c r="E48" s="904"/>
      <c r="F48" s="904"/>
      <c r="G48" s="270" t="s">
        <v>594</v>
      </c>
      <c r="H48" s="276"/>
      <c r="I48" s="276"/>
      <c r="J48" s="276"/>
      <c r="K48" s="276"/>
      <c r="L48" s="290"/>
      <c r="O48" s="13" t="str">
        <f>"Direct material used 3 - "&amp;Public!D167</f>
        <v xml:space="preserve">Direct material used 3 - </v>
      </c>
      <c r="P48" s="12" t="str">
        <f>"La matière directe utilisée 3 - "&amp;Public!D167</f>
        <v xml:space="preserve">La matière directe utilisée 3 - </v>
      </c>
    </row>
    <row r="49" spans="1:16" s="157" customFormat="1" x14ac:dyDescent="0.25">
      <c r="A49" s="200"/>
      <c r="B49" s="886" t="str">
        <f>IF(Intro!$G$21="English",O49,P49)</f>
        <v>Toutes les autres matières directes utilisées</v>
      </c>
      <c r="C49" s="904"/>
      <c r="D49" s="904"/>
      <c r="E49" s="904"/>
      <c r="F49" s="904"/>
      <c r="G49" s="270" t="s">
        <v>594</v>
      </c>
      <c r="H49" s="276"/>
      <c r="I49" s="276"/>
      <c r="J49" s="276"/>
      <c r="K49" s="276"/>
      <c r="L49" s="290"/>
      <c r="O49" s="157" t="s">
        <v>61</v>
      </c>
      <c r="P49" s="157" t="s">
        <v>62</v>
      </c>
    </row>
    <row r="50" spans="1:16" s="157" customFormat="1" x14ac:dyDescent="0.25">
      <c r="A50" s="200"/>
      <c r="B50" s="886" t="str">
        <f>IF(Intro!$G$21="English",O50,P50)</f>
        <v xml:space="preserve">Le montant des salaires associé à l’emploi direct </v>
      </c>
      <c r="C50" s="904"/>
      <c r="D50" s="904"/>
      <c r="E50" s="904"/>
      <c r="F50" s="904"/>
      <c r="G50" s="270" t="s">
        <v>594</v>
      </c>
      <c r="H50" s="276"/>
      <c r="I50" s="276"/>
      <c r="J50" s="276"/>
      <c r="K50" s="276"/>
      <c r="L50" s="290"/>
      <c r="O50" s="157" t="s">
        <v>63</v>
      </c>
      <c r="P50" s="157" t="s">
        <v>64</v>
      </c>
    </row>
    <row r="51" spans="1:16" s="157" customFormat="1" x14ac:dyDescent="0.25">
      <c r="A51" s="200"/>
      <c r="B51" s="886" t="str">
        <f>IF(Intro!$G$21="English",O51,P51)</f>
        <v>Charges indirectes de fabrication</v>
      </c>
      <c r="C51" s="904"/>
      <c r="D51" s="904"/>
      <c r="E51" s="904"/>
      <c r="F51" s="904"/>
      <c r="G51" s="270" t="s">
        <v>594</v>
      </c>
      <c r="H51" s="276"/>
      <c r="I51" s="276"/>
      <c r="J51" s="276"/>
      <c r="K51" s="276"/>
      <c r="L51" s="290"/>
      <c r="O51" s="157" t="s">
        <v>447</v>
      </c>
      <c r="P51" s="157" t="s">
        <v>65</v>
      </c>
    </row>
    <row r="52" spans="1:16" s="157" customFormat="1" x14ac:dyDescent="0.25">
      <c r="A52" s="200"/>
      <c r="B52" s="886" t="str">
        <f>IF(Intro!$G$21="English",O52,P52)</f>
        <v>Stock de clôture des marchandises en cours de fabrication</v>
      </c>
      <c r="C52" s="904"/>
      <c r="D52" s="904"/>
      <c r="E52" s="904"/>
      <c r="F52" s="904"/>
      <c r="G52" s="270" t="s">
        <v>594</v>
      </c>
      <c r="H52" s="276"/>
      <c r="I52" s="276"/>
      <c r="J52" s="276"/>
      <c r="K52" s="276"/>
      <c r="L52" s="290"/>
      <c r="O52" s="157" t="s">
        <v>220</v>
      </c>
      <c r="P52" s="157" t="s">
        <v>633</v>
      </c>
    </row>
    <row r="53" spans="1:16" s="181" customFormat="1" x14ac:dyDescent="0.25">
      <c r="A53" s="217"/>
      <c r="B53" s="879" t="str">
        <f>IF(Intro!$G$21="English",O53,P53)</f>
        <v xml:space="preserve">Coût des marchandises fabriquées </v>
      </c>
      <c r="C53" s="904"/>
      <c r="D53" s="904"/>
      <c r="E53" s="904"/>
      <c r="F53" s="904"/>
      <c r="G53" s="270" t="s">
        <v>594</v>
      </c>
      <c r="H53" s="277">
        <f>H45+H46+H47+H48+H49+H50+H51-H52</f>
        <v>0</v>
      </c>
      <c r="I53" s="277">
        <f t="shared" ref="I53:J53" si="0">I45+I46+I47+I48+I49+I50+I51-I52</f>
        <v>0</v>
      </c>
      <c r="J53" s="277">
        <f t="shared" si="0"/>
        <v>0</v>
      </c>
      <c r="K53" s="277">
        <f t="shared" ref="K53:L53" si="1">K45+K46+K47+K48+K49+K50+K51-K52</f>
        <v>0</v>
      </c>
      <c r="L53" s="295">
        <f t="shared" si="1"/>
        <v>0</v>
      </c>
      <c r="O53" s="181" t="s">
        <v>66</v>
      </c>
      <c r="P53" s="181" t="s">
        <v>67</v>
      </c>
    </row>
    <row r="54" spans="1:16" s="12" customFormat="1" x14ac:dyDescent="0.25">
      <c r="A54" s="14"/>
      <c r="B54" s="186"/>
      <c r="C54" s="187"/>
      <c r="G54" s="32"/>
      <c r="J54" s="33"/>
      <c r="K54" s="33"/>
      <c r="L54" s="33"/>
      <c r="O54" s="13"/>
    </row>
    <row r="55" spans="1:16" s="12" customFormat="1" x14ac:dyDescent="0.25">
      <c r="A55" s="14"/>
      <c r="B55" s="897" t="str">
        <f>IF(Intro!$G$21="English",O55,P55)</f>
        <v>Pour les ventes à l'exportation</v>
      </c>
      <c r="C55" s="831"/>
      <c r="D55" s="831"/>
      <c r="E55" s="831"/>
      <c r="F55" s="831"/>
      <c r="G55" s="831"/>
      <c r="H55" s="831">
        <f>Variables!$B$6</f>
        <v>2022</v>
      </c>
      <c r="I55" s="831">
        <f>H55+1</f>
        <v>2023</v>
      </c>
      <c r="J55" s="831">
        <f>I55+1</f>
        <v>2024</v>
      </c>
      <c r="K55" s="831" t="str">
        <f>K43</f>
        <v>janv-sept 2024</v>
      </c>
      <c r="L55" s="846" t="str">
        <f>L43</f>
        <v>janv-sept 2025</v>
      </c>
      <c r="O55" s="13" t="s">
        <v>221</v>
      </c>
      <c r="P55" s="13" t="s">
        <v>222</v>
      </c>
    </row>
    <row r="56" spans="1:16" s="12" customFormat="1" x14ac:dyDescent="0.25">
      <c r="A56" s="14"/>
      <c r="B56" s="897"/>
      <c r="C56" s="831"/>
      <c r="D56" s="831"/>
      <c r="E56" s="831"/>
      <c r="F56" s="831"/>
      <c r="G56" s="831"/>
      <c r="H56" s="831"/>
      <c r="I56" s="831"/>
      <c r="J56" s="831"/>
      <c r="K56" s="831"/>
      <c r="L56" s="846"/>
      <c r="O56" s="13"/>
      <c r="P56" s="13"/>
    </row>
    <row r="57" spans="1:16" s="157" customFormat="1" x14ac:dyDescent="0.25">
      <c r="A57" s="200"/>
      <c r="B57" s="886" t="str">
        <f>B45</f>
        <v>Stock d'ouverture des marchandises en cours de fabrication</v>
      </c>
      <c r="C57" s="887"/>
      <c r="D57" s="887"/>
      <c r="E57" s="887"/>
      <c r="F57" s="887"/>
      <c r="G57" s="289" t="s">
        <v>594</v>
      </c>
      <c r="H57" s="279"/>
      <c r="I57" s="279"/>
      <c r="J57" s="279"/>
      <c r="K57" s="279"/>
      <c r="L57" s="282"/>
    </row>
    <row r="58" spans="1:16" s="157" customFormat="1" ht="14.25" customHeight="1" x14ac:dyDescent="0.25">
      <c r="A58" s="200"/>
      <c r="B58" s="886" t="str">
        <f t="shared" ref="B58:B65" si="2">B46</f>
        <v xml:space="preserve">La matière directe utilisée 1 - </v>
      </c>
      <c r="C58" s="887"/>
      <c r="D58" s="887"/>
      <c r="E58" s="887"/>
      <c r="F58" s="887"/>
      <c r="G58" s="289" t="s">
        <v>594</v>
      </c>
      <c r="H58" s="279"/>
      <c r="I58" s="279"/>
      <c r="J58" s="279"/>
      <c r="K58" s="279"/>
      <c r="L58" s="282"/>
      <c r="O58" s="13"/>
      <c r="P58" s="12"/>
    </row>
    <row r="59" spans="1:16" s="157" customFormat="1" ht="14.25" customHeight="1" x14ac:dyDescent="0.25">
      <c r="A59" s="200"/>
      <c r="B59" s="886" t="str">
        <f t="shared" si="2"/>
        <v xml:space="preserve">La matière directe utilisée 2 - </v>
      </c>
      <c r="C59" s="887"/>
      <c r="D59" s="887"/>
      <c r="E59" s="887"/>
      <c r="F59" s="887"/>
      <c r="G59" s="289" t="s">
        <v>594</v>
      </c>
      <c r="H59" s="279"/>
      <c r="I59" s="279"/>
      <c r="J59" s="279"/>
      <c r="K59" s="279"/>
      <c r="L59" s="282"/>
      <c r="O59" s="13"/>
      <c r="P59" s="12"/>
    </row>
    <row r="60" spans="1:16" s="157" customFormat="1" ht="14.25" customHeight="1" x14ac:dyDescent="0.25">
      <c r="A60" s="200"/>
      <c r="B60" s="886" t="str">
        <f t="shared" si="2"/>
        <v xml:space="preserve">La matière directe utilisée 3 - </v>
      </c>
      <c r="C60" s="887"/>
      <c r="D60" s="887"/>
      <c r="E60" s="887"/>
      <c r="F60" s="887"/>
      <c r="G60" s="289" t="s">
        <v>594</v>
      </c>
      <c r="H60" s="279"/>
      <c r="I60" s="279"/>
      <c r="J60" s="279"/>
      <c r="K60" s="279"/>
      <c r="L60" s="282"/>
      <c r="O60" s="13"/>
      <c r="P60" s="12"/>
    </row>
    <row r="61" spans="1:16" s="157" customFormat="1" ht="14.25" customHeight="1" x14ac:dyDescent="0.25">
      <c r="A61" s="200"/>
      <c r="B61" s="886" t="str">
        <f t="shared" si="2"/>
        <v>Toutes les autres matières directes utilisées</v>
      </c>
      <c r="C61" s="887"/>
      <c r="D61" s="887"/>
      <c r="E61" s="887"/>
      <c r="F61" s="887"/>
      <c r="G61" s="289" t="s">
        <v>594</v>
      </c>
      <c r="H61" s="279"/>
      <c r="I61" s="279"/>
      <c r="J61" s="279"/>
      <c r="K61" s="279"/>
      <c r="L61" s="282"/>
    </row>
    <row r="62" spans="1:16" s="157" customFormat="1" ht="14.25" customHeight="1" x14ac:dyDescent="0.25">
      <c r="A62" s="200"/>
      <c r="B62" s="886" t="str">
        <f t="shared" si="2"/>
        <v xml:space="preserve">Le montant des salaires associé à l’emploi direct </v>
      </c>
      <c r="C62" s="887"/>
      <c r="D62" s="887"/>
      <c r="E62" s="887"/>
      <c r="F62" s="887"/>
      <c r="G62" s="289" t="s">
        <v>594</v>
      </c>
      <c r="H62" s="279"/>
      <c r="I62" s="279"/>
      <c r="J62" s="279"/>
      <c r="K62" s="279"/>
      <c r="L62" s="282"/>
    </row>
    <row r="63" spans="1:16" s="157" customFormat="1" ht="14.25" customHeight="1" x14ac:dyDescent="0.25">
      <c r="A63" s="200"/>
      <c r="B63" s="886" t="str">
        <f t="shared" si="2"/>
        <v>Charges indirectes de fabrication</v>
      </c>
      <c r="C63" s="887"/>
      <c r="D63" s="887"/>
      <c r="E63" s="887"/>
      <c r="F63" s="887"/>
      <c r="G63" s="289" t="s">
        <v>594</v>
      </c>
      <c r="H63" s="279"/>
      <c r="I63" s="279"/>
      <c r="J63" s="279"/>
      <c r="K63" s="279"/>
      <c r="L63" s="282"/>
    </row>
    <row r="64" spans="1:16" s="157" customFormat="1" ht="14.25" customHeight="1" x14ac:dyDescent="0.25">
      <c r="A64" s="200"/>
      <c r="B64" s="886" t="str">
        <f t="shared" si="2"/>
        <v>Stock de clôture des marchandises en cours de fabrication</v>
      </c>
      <c r="C64" s="887"/>
      <c r="D64" s="887"/>
      <c r="E64" s="887"/>
      <c r="F64" s="887"/>
      <c r="G64" s="289" t="s">
        <v>594</v>
      </c>
      <c r="H64" s="279"/>
      <c r="I64" s="279"/>
      <c r="J64" s="279"/>
      <c r="K64" s="279"/>
      <c r="L64" s="282"/>
    </row>
    <row r="65" spans="1:16" s="181" customFormat="1" ht="14.25" customHeight="1" x14ac:dyDescent="0.25">
      <c r="A65" s="217"/>
      <c r="B65" s="879" t="str">
        <f t="shared" si="2"/>
        <v xml:space="preserve">Coût des marchandises fabriquées </v>
      </c>
      <c r="C65" s="880"/>
      <c r="D65" s="880"/>
      <c r="E65" s="880"/>
      <c r="F65" s="880"/>
      <c r="G65" s="289" t="s">
        <v>594</v>
      </c>
      <c r="H65" s="294">
        <f>H57+H58+H59+H60+H61+H62+H63-H64</f>
        <v>0</v>
      </c>
      <c r="I65" s="294">
        <f t="shared" ref="I65" si="3">I57+I58+I59+I60+I61+I62+I63-I64</f>
        <v>0</v>
      </c>
      <c r="J65" s="294">
        <f t="shared" ref="J65:K65" si="4">J57+J58+J59+J60+J61+J62+J63-J64</f>
        <v>0</v>
      </c>
      <c r="K65" s="294">
        <f t="shared" si="4"/>
        <v>0</v>
      </c>
      <c r="L65" s="296">
        <f t="shared" ref="L65" si="5">L57+L58+L59+L60+L61+L62+L63-L64</f>
        <v>0</v>
      </c>
    </row>
    <row r="66" spans="1:16" s="157" customFormat="1" x14ac:dyDescent="0.25">
      <c r="A66" s="200"/>
      <c r="B66" s="207"/>
      <c r="C66" s="208"/>
      <c r="D66" s="208"/>
      <c r="E66" s="208"/>
      <c r="F66" s="208"/>
      <c r="G66" s="208"/>
      <c r="H66" s="208"/>
      <c r="I66" s="208"/>
      <c r="J66" s="208"/>
      <c r="K66" s="208"/>
      <c r="L66" s="209"/>
    </row>
    <row r="67" spans="1:16" s="3" customFormat="1" x14ac:dyDescent="0.25">
      <c r="A67" s="14"/>
      <c r="B67" s="767" t="s">
        <v>27</v>
      </c>
      <c r="C67" s="768"/>
      <c r="D67" s="768"/>
      <c r="E67" s="768"/>
      <c r="F67" s="768"/>
      <c r="G67" s="768"/>
      <c r="H67" s="768"/>
      <c r="I67" s="768"/>
      <c r="J67" s="768"/>
      <c r="K67" s="768"/>
      <c r="L67" s="769"/>
      <c r="M67" s="216"/>
    </row>
    <row r="68" spans="1:16" s="157" customFormat="1" x14ac:dyDescent="0.25">
      <c r="A68" s="200"/>
      <c r="B68" s="201"/>
      <c r="C68" s="202"/>
      <c r="D68" s="202"/>
      <c r="E68" s="202"/>
      <c r="F68" s="202"/>
      <c r="G68" s="202"/>
      <c r="H68" s="202"/>
      <c r="I68" s="202"/>
      <c r="J68" s="202"/>
      <c r="K68" s="202"/>
      <c r="L68" s="203"/>
    </row>
    <row r="69" spans="1:16" s="157" customFormat="1" x14ac:dyDescent="0.25">
      <c r="A69" s="200"/>
      <c r="B69" s="672" t="str">
        <f>IF(Intro!$G$21="English",O69,P69)</f>
        <v>Expliquez toute variation du coût des matières directes utilisées susmentionnées depuis le 1er janvier 2022.</v>
      </c>
      <c r="C69" s="673"/>
      <c r="D69" s="673"/>
      <c r="E69" s="673"/>
      <c r="F69" s="673"/>
      <c r="G69" s="673"/>
      <c r="H69" s="673"/>
      <c r="I69" s="673"/>
      <c r="J69" s="673"/>
      <c r="K69" s="673"/>
      <c r="L69" s="674"/>
      <c r="O69" s="157" t="str">
        <f>"Explain any changes in the cost of direct materials used listed above since January 1, "&amp;Variables!B6&amp;"."</f>
        <v>Explain any changes in the cost of direct materials used listed above since January 1, 2022.</v>
      </c>
      <c r="P69" s="157" t="str">
        <f>"Expliquez toute variation du coût des matières directes utilisées susmentionnées depuis le 1er janvier "&amp;Variables!B6&amp;"."</f>
        <v>Expliquez toute variation du coût des matières directes utilisées susmentionnées depuis le 1er janvier 2022.</v>
      </c>
    </row>
    <row r="70" spans="1:16" s="157" customFormat="1" x14ac:dyDescent="0.25">
      <c r="A70" s="200"/>
      <c r="B70" s="201"/>
      <c r="C70" s="202"/>
      <c r="D70" s="202"/>
      <c r="E70" s="202"/>
      <c r="F70" s="202"/>
      <c r="G70" s="202"/>
      <c r="H70" s="202"/>
      <c r="I70" s="202"/>
      <c r="J70" s="202"/>
      <c r="K70" s="202"/>
      <c r="L70" s="203"/>
    </row>
    <row r="71" spans="1:16" s="3" customFormat="1" x14ac:dyDescent="0.25">
      <c r="A71" s="15"/>
      <c r="B71" s="773"/>
      <c r="C71" s="774"/>
      <c r="D71" s="774"/>
      <c r="E71" s="774"/>
      <c r="F71" s="774"/>
      <c r="G71" s="774"/>
      <c r="H71" s="774"/>
      <c r="I71" s="774"/>
      <c r="J71" s="774"/>
      <c r="K71" s="774"/>
      <c r="L71" s="775"/>
      <c r="M71" s="182"/>
      <c r="O71" s="176"/>
      <c r="P71" s="176"/>
    </row>
    <row r="72" spans="1:16" s="3" customFormat="1" x14ac:dyDescent="0.25">
      <c r="A72" s="15"/>
      <c r="B72" s="773"/>
      <c r="C72" s="774"/>
      <c r="D72" s="774"/>
      <c r="E72" s="774"/>
      <c r="F72" s="774"/>
      <c r="G72" s="774"/>
      <c r="H72" s="774"/>
      <c r="I72" s="774"/>
      <c r="J72" s="774"/>
      <c r="K72" s="774"/>
      <c r="L72" s="775"/>
      <c r="M72" s="182"/>
      <c r="O72" s="176"/>
      <c r="P72" s="176"/>
    </row>
    <row r="73" spans="1:16" s="3" customFormat="1" x14ac:dyDescent="0.25">
      <c r="A73" s="15"/>
      <c r="B73" s="773"/>
      <c r="C73" s="774"/>
      <c r="D73" s="774"/>
      <c r="E73" s="774"/>
      <c r="F73" s="774"/>
      <c r="G73" s="774"/>
      <c r="H73" s="774"/>
      <c r="I73" s="774"/>
      <c r="J73" s="774"/>
      <c r="K73" s="774"/>
      <c r="L73" s="775"/>
      <c r="M73" s="182"/>
      <c r="O73" s="176"/>
      <c r="P73" s="176"/>
    </row>
    <row r="74" spans="1:16" s="3" customFormat="1" x14ac:dyDescent="0.25">
      <c r="A74" s="15"/>
      <c r="B74" s="773"/>
      <c r="C74" s="774"/>
      <c r="D74" s="774"/>
      <c r="E74" s="774"/>
      <c r="F74" s="774"/>
      <c r="G74" s="774"/>
      <c r="H74" s="774"/>
      <c r="I74" s="774"/>
      <c r="J74" s="774"/>
      <c r="K74" s="774"/>
      <c r="L74" s="775"/>
      <c r="M74" s="182"/>
      <c r="O74" s="176"/>
      <c r="P74" s="176"/>
    </row>
    <row r="75" spans="1:16" s="3" customFormat="1" x14ac:dyDescent="0.25">
      <c r="A75" s="15"/>
      <c r="B75" s="773"/>
      <c r="C75" s="774"/>
      <c r="D75" s="774"/>
      <c r="E75" s="774"/>
      <c r="F75" s="774"/>
      <c r="G75" s="774"/>
      <c r="H75" s="774"/>
      <c r="I75" s="774"/>
      <c r="J75" s="774"/>
      <c r="K75" s="774"/>
      <c r="L75" s="775"/>
      <c r="M75" s="182"/>
      <c r="O75" s="176"/>
      <c r="P75" s="176"/>
    </row>
    <row r="76" spans="1:16" s="3" customFormat="1" x14ac:dyDescent="0.25">
      <c r="A76" s="15"/>
      <c r="B76" s="773"/>
      <c r="C76" s="774"/>
      <c r="D76" s="774"/>
      <c r="E76" s="774"/>
      <c r="F76" s="774"/>
      <c r="G76" s="774"/>
      <c r="H76" s="774"/>
      <c r="I76" s="774"/>
      <c r="J76" s="774"/>
      <c r="K76" s="774"/>
      <c r="L76" s="775"/>
      <c r="M76" s="182"/>
      <c r="O76" s="176"/>
      <c r="P76" s="176"/>
    </row>
    <row r="77" spans="1:16" s="3" customFormat="1" x14ac:dyDescent="0.25">
      <c r="A77" s="15"/>
      <c r="B77" s="773"/>
      <c r="C77" s="774"/>
      <c r="D77" s="774"/>
      <c r="E77" s="774"/>
      <c r="F77" s="774"/>
      <c r="G77" s="774"/>
      <c r="H77" s="774"/>
      <c r="I77" s="774"/>
      <c r="J77" s="774"/>
      <c r="K77" s="774"/>
      <c r="L77" s="775"/>
      <c r="M77" s="182"/>
      <c r="O77" s="176"/>
      <c r="P77" s="176"/>
    </row>
    <row r="78" spans="1:16" s="3" customFormat="1" x14ac:dyDescent="0.25">
      <c r="A78" s="15"/>
      <c r="B78" s="773"/>
      <c r="C78" s="774"/>
      <c r="D78" s="774"/>
      <c r="E78" s="774"/>
      <c r="F78" s="774"/>
      <c r="G78" s="774"/>
      <c r="H78" s="774"/>
      <c r="I78" s="774"/>
      <c r="J78" s="774"/>
      <c r="K78" s="774"/>
      <c r="L78" s="775"/>
      <c r="M78" s="182"/>
      <c r="O78" s="176"/>
      <c r="P78" s="176"/>
    </row>
    <row r="79" spans="1:16" s="157" customFormat="1" x14ac:dyDescent="0.25">
      <c r="A79" s="200"/>
      <c r="B79" s="207"/>
      <c r="C79" s="208"/>
      <c r="D79" s="208"/>
      <c r="E79" s="208"/>
      <c r="F79" s="208"/>
      <c r="G79" s="208"/>
      <c r="H79" s="208"/>
      <c r="I79" s="208"/>
      <c r="J79" s="208"/>
      <c r="K79" s="208"/>
      <c r="L79" s="209"/>
    </row>
    <row r="80" spans="1:16" s="3" customFormat="1" x14ac:dyDescent="0.25">
      <c r="A80" s="14"/>
      <c r="B80" s="767" t="s">
        <v>28</v>
      </c>
      <c r="C80" s="768"/>
      <c r="D80" s="768"/>
      <c r="E80" s="768"/>
      <c r="F80" s="768"/>
      <c r="G80" s="768"/>
      <c r="H80" s="768"/>
      <c r="I80" s="768"/>
      <c r="J80" s="768"/>
      <c r="K80" s="768"/>
      <c r="L80" s="769"/>
      <c r="M80" s="216"/>
    </row>
    <row r="81" spans="1:16" s="157" customFormat="1" x14ac:dyDescent="0.25">
      <c r="A81" s="200"/>
      <c r="B81" s="201"/>
      <c r="C81" s="202"/>
      <c r="D81" s="202"/>
      <c r="E81" s="202"/>
      <c r="F81" s="202"/>
      <c r="G81" s="202"/>
      <c r="H81" s="202"/>
      <c r="I81" s="202"/>
      <c r="J81" s="202"/>
      <c r="K81" s="202"/>
      <c r="L81" s="203"/>
    </row>
    <row r="82" spans="1:16" s="157" customFormat="1" x14ac:dyDescent="0.25">
      <c r="A82" s="200"/>
      <c r="B82" s="694" t="str">
        <f>IF(Intro!$G$21="English",O82,P82)</f>
        <v>Décrivez les plans de votre entreprise pour gérer le coût des matières au cours des deux prochaines années. Fournissez les motifs et les hypothèses sous-tendant ces objectifs et ces stratégies.</v>
      </c>
      <c r="C82" s="695"/>
      <c r="D82" s="695"/>
      <c r="E82" s="695"/>
      <c r="F82" s="695"/>
      <c r="G82" s="695"/>
      <c r="H82" s="695"/>
      <c r="I82" s="695"/>
      <c r="J82" s="695"/>
      <c r="K82" s="695"/>
      <c r="L82" s="696"/>
      <c r="O82" s="157" t="s">
        <v>595</v>
      </c>
      <c r="P82" s="157" t="s">
        <v>271</v>
      </c>
    </row>
    <row r="83" spans="1:16" s="157" customFormat="1" x14ac:dyDescent="0.25">
      <c r="A83" s="200"/>
      <c r="B83" s="694"/>
      <c r="C83" s="695"/>
      <c r="D83" s="695"/>
      <c r="E83" s="695"/>
      <c r="F83" s="695"/>
      <c r="G83" s="695"/>
      <c r="H83" s="695"/>
      <c r="I83" s="695"/>
      <c r="J83" s="695"/>
      <c r="K83" s="695"/>
      <c r="L83" s="696"/>
    </row>
    <row r="84" spans="1:16" s="157" customFormat="1" x14ac:dyDescent="0.25">
      <c r="A84" s="200"/>
      <c r="B84" s="201"/>
      <c r="C84" s="202"/>
      <c r="D84" s="202"/>
      <c r="E84" s="202"/>
      <c r="F84" s="202"/>
      <c r="G84" s="202"/>
      <c r="H84" s="202"/>
      <c r="I84" s="202"/>
      <c r="J84" s="202"/>
      <c r="K84" s="202"/>
      <c r="L84" s="203"/>
    </row>
    <row r="85" spans="1:16" s="3" customFormat="1" x14ac:dyDescent="0.25">
      <c r="A85" s="15"/>
      <c r="B85" s="773"/>
      <c r="C85" s="774"/>
      <c r="D85" s="774"/>
      <c r="E85" s="774"/>
      <c r="F85" s="774"/>
      <c r="G85" s="774"/>
      <c r="H85" s="774"/>
      <c r="I85" s="774"/>
      <c r="J85" s="774"/>
      <c r="K85" s="774"/>
      <c r="L85" s="775"/>
      <c r="M85" s="182"/>
      <c r="O85" s="176"/>
      <c r="P85" s="176"/>
    </row>
    <row r="86" spans="1:16" s="3" customFormat="1" x14ac:dyDescent="0.25">
      <c r="A86" s="15"/>
      <c r="B86" s="773"/>
      <c r="C86" s="774"/>
      <c r="D86" s="774"/>
      <c r="E86" s="774"/>
      <c r="F86" s="774"/>
      <c r="G86" s="774"/>
      <c r="H86" s="774"/>
      <c r="I86" s="774"/>
      <c r="J86" s="774"/>
      <c r="K86" s="774"/>
      <c r="L86" s="775"/>
      <c r="M86" s="182"/>
      <c r="O86" s="176"/>
      <c r="P86" s="176"/>
    </row>
    <row r="87" spans="1:16" s="3" customFormat="1" x14ac:dyDescent="0.25">
      <c r="A87" s="15"/>
      <c r="B87" s="773"/>
      <c r="C87" s="774"/>
      <c r="D87" s="774"/>
      <c r="E87" s="774"/>
      <c r="F87" s="774"/>
      <c r="G87" s="774"/>
      <c r="H87" s="774"/>
      <c r="I87" s="774"/>
      <c r="J87" s="774"/>
      <c r="K87" s="774"/>
      <c r="L87" s="775"/>
      <c r="M87" s="182"/>
      <c r="O87" s="176"/>
      <c r="P87" s="176"/>
    </row>
    <row r="88" spans="1:16" s="3" customFormat="1" x14ac:dyDescent="0.25">
      <c r="A88" s="15"/>
      <c r="B88" s="773"/>
      <c r="C88" s="774"/>
      <c r="D88" s="774"/>
      <c r="E88" s="774"/>
      <c r="F88" s="774"/>
      <c r="G88" s="774"/>
      <c r="H88" s="774"/>
      <c r="I88" s="774"/>
      <c r="J88" s="774"/>
      <c r="K88" s="774"/>
      <c r="L88" s="775"/>
      <c r="M88" s="182"/>
      <c r="O88" s="176"/>
      <c r="P88" s="176"/>
    </row>
    <row r="89" spans="1:16" s="3" customFormat="1" x14ac:dyDescent="0.25">
      <c r="A89" s="15"/>
      <c r="B89" s="773"/>
      <c r="C89" s="774"/>
      <c r="D89" s="774"/>
      <c r="E89" s="774"/>
      <c r="F89" s="774"/>
      <c r="G89" s="774"/>
      <c r="H89" s="774"/>
      <c r="I89" s="774"/>
      <c r="J89" s="774"/>
      <c r="K89" s="774"/>
      <c r="L89" s="775"/>
      <c r="M89" s="182"/>
      <c r="O89" s="176"/>
      <c r="P89" s="176"/>
    </row>
    <row r="90" spans="1:16" s="3" customFormat="1" x14ac:dyDescent="0.25">
      <c r="A90" s="15"/>
      <c r="B90" s="773"/>
      <c r="C90" s="774"/>
      <c r="D90" s="774"/>
      <c r="E90" s="774"/>
      <c r="F90" s="774"/>
      <c r="G90" s="774"/>
      <c r="H90" s="774"/>
      <c r="I90" s="774"/>
      <c r="J90" s="774"/>
      <c r="K90" s="774"/>
      <c r="L90" s="775"/>
      <c r="M90" s="182"/>
      <c r="O90" s="176"/>
      <c r="P90" s="176"/>
    </row>
    <row r="91" spans="1:16" s="3" customFormat="1" x14ac:dyDescent="0.25">
      <c r="A91" s="15"/>
      <c r="B91" s="773"/>
      <c r="C91" s="774"/>
      <c r="D91" s="774"/>
      <c r="E91" s="774"/>
      <c r="F91" s="774"/>
      <c r="G91" s="774"/>
      <c r="H91" s="774"/>
      <c r="I91" s="774"/>
      <c r="J91" s="774"/>
      <c r="K91" s="774"/>
      <c r="L91" s="775"/>
      <c r="M91" s="182"/>
      <c r="O91" s="176"/>
      <c r="P91" s="176"/>
    </row>
    <row r="92" spans="1:16" s="3" customFormat="1" x14ac:dyDescent="0.25">
      <c r="A92" s="15"/>
      <c r="B92" s="773"/>
      <c r="C92" s="774"/>
      <c r="D92" s="774"/>
      <c r="E92" s="774"/>
      <c r="F92" s="774"/>
      <c r="G92" s="774"/>
      <c r="H92" s="774"/>
      <c r="I92" s="774"/>
      <c r="J92" s="774"/>
      <c r="K92" s="774"/>
      <c r="L92" s="775"/>
      <c r="M92" s="182"/>
      <c r="O92" s="176"/>
      <c r="P92" s="176"/>
    </row>
    <row r="93" spans="1:16" s="157" customFormat="1" x14ac:dyDescent="0.25">
      <c r="A93" s="200"/>
      <c r="B93" s="207"/>
      <c r="C93" s="208"/>
      <c r="D93" s="208"/>
      <c r="E93" s="208"/>
      <c r="F93" s="208"/>
      <c r="G93" s="208"/>
      <c r="H93" s="208"/>
      <c r="I93" s="208"/>
      <c r="J93" s="208"/>
      <c r="K93" s="208"/>
      <c r="L93" s="209"/>
    </row>
    <row r="94" spans="1:16" x14ac:dyDescent="0.25">
      <c r="B94" s="767" t="s">
        <v>30</v>
      </c>
      <c r="C94" s="768"/>
      <c r="D94" s="768"/>
      <c r="E94" s="768"/>
      <c r="F94" s="768"/>
      <c r="G94" s="768"/>
      <c r="H94" s="768"/>
      <c r="I94" s="768"/>
      <c r="J94" s="768"/>
      <c r="K94" s="768"/>
      <c r="L94" s="769"/>
      <c r="M94" s="2"/>
    </row>
    <row r="95" spans="1:16" s="12" customFormat="1" x14ac:dyDescent="0.25">
      <c r="A95" s="14"/>
      <c r="B95" s="31"/>
      <c r="C95" s="32"/>
      <c r="D95" s="32"/>
      <c r="E95" s="33"/>
      <c r="F95" s="33"/>
      <c r="G95" s="33"/>
      <c r="H95" s="33"/>
      <c r="I95" s="33"/>
      <c r="J95" s="33"/>
      <c r="K95" s="33"/>
      <c r="L95" s="34"/>
    </row>
    <row r="96" spans="1:16" s="12" customFormat="1" x14ac:dyDescent="0.25">
      <c r="A96" s="14"/>
      <c r="B96" s="672" t="str">
        <f>IF(Intro!$G$21="English",O96,P96)</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96" s="673"/>
      <c r="D96" s="673"/>
      <c r="E96" s="673"/>
      <c r="F96" s="673"/>
      <c r="G96" s="673"/>
      <c r="H96" s="673"/>
      <c r="I96" s="673"/>
      <c r="J96" s="673"/>
      <c r="K96" s="673"/>
      <c r="L96" s="674"/>
      <c r="O96" s="13" t="s">
        <v>223</v>
      </c>
      <c r="P96" s="12" t="s">
        <v>454</v>
      </c>
    </row>
    <row r="97" spans="1:16" s="12" customFormat="1" x14ac:dyDescent="0.25">
      <c r="A97" s="14"/>
      <c r="B97" s="672"/>
      <c r="C97" s="673"/>
      <c r="D97" s="673"/>
      <c r="E97" s="673"/>
      <c r="F97" s="673"/>
      <c r="G97" s="673"/>
      <c r="H97" s="673"/>
      <c r="I97" s="673"/>
      <c r="J97" s="673"/>
      <c r="K97" s="673"/>
      <c r="L97" s="674"/>
      <c r="O97" s="13"/>
    </row>
    <row r="98" spans="1:16" s="12" customFormat="1" x14ac:dyDescent="0.25">
      <c r="A98" s="14"/>
      <c r="B98" s="672" t="str">
        <f>IF(Intro!$G$21="English",O98,P98)</f>
        <v>Remarque - Les salaires directs payés pour les ventes intérieures et les ventes à l'exportation sont fournis par la réponse à la question 4 ci-dessus.</v>
      </c>
      <c r="C98" s="673"/>
      <c r="D98" s="673"/>
      <c r="E98" s="673"/>
      <c r="F98" s="673"/>
      <c r="G98" s="673"/>
      <c r="H98" s="673"/>
      <c r="I98" s="673"/>
      <c r="J98" s="673"/>
      <c r="K98" s="673"/>
      <c r="L98" s="674"/>
      <c r="O98" s="13" t="s">
        <v>448</v>
      </c>
      <c r="P98" s="12" t="s">
        <v>224</v>
      </c>
    </row>
    <row r="99" spans="1:16" s="12" customFormat="1" x14ac:dyDescent="0.25">
      <c r="A99" s="14"/>
      <c r="B99" s="186"/>
      <c r="C99" s="187"/>
      <c r="D99" s="32"/>
      <c r="E99" s="33"/>
      <c r="F99" s="33"/>
      <c r="G99" s="33"/>
      <c r="H99" s="33"/>
      <c r="I99" s="33"/>
      <c r="J99" s="33"/>
      <c r="K99" s="33"/>
      <c r="L99" s="34"/>
      <c r="O99" s="13"/>
    </row>
    <row r="100" spans="1:16" s="12" customFormat="1" x14ac:dyDescent="0.25">
      <c r="A100" s="14"/>
      <c r="B100" s="891" t="str">
        <f>IF(Intro!$G$21="English",O100,P100)</f>
        <v>Nombre d'employés</v>
      </c>
      <c r="C100" s="892"/>
      <c r="D100" s="892"/>
      <c r="E100" s="892"/>
      <c r="F100" s="892"/>
      <c r="G100" s="893"/>
      <c r="H100" s="851">
        <f>Variables!$B$6</f>
        <v>2022</v>
      </c>
      <c r="I100" s="851">
        <f>H100+1</f>
        <v>2023</v>
      </c>
      <c r="J100" s="851">
        <f>I100+1</f>
        <v>2024</v>
      </c>
      <c r="K100" s="851" t="str">
        <f>K55</f>
        <v>janv-sept 2024</v>
      </c>
      <c r="L100" s="872" t="str">
        <f>L55</f>
        <v>janv-sept 2025</v>
      </c>
      <c r="O100" s="13" t="s">
        <v>449</v>
      </c>
      <c r="P100" s="13" t="s">
        <v>225</v>
      </c>
    </row>
    <row r="101" spans="1:16" s="12" customFormat="1" x14ac:dyDescent="0.25">
      <c r="A101" s="14"/>
      <c r="B101" s="894"/>
      <c r="C101" s="895"/>
      <c r="D101" s="895"/>
      <c r="E101" s="895"/>
      <c r="F101" s="895"/>
      <c r="G101" s="896"/>
      <c r="H101" s="852"/>
      <c r="I101" s="852"/>
      <c r="J101" s="852"/>
      <c r="K101" s="852"/>
      <c r="L101" s="873"/>
      <c r="O101" s="13"/>
      <c r="P101" s="13"/>
    </row>
    <row r="102" spans="1:16" s="157" customFormat="1" x14ac:dyDescent="0.25">
      <c r="A102" s="200"/>
      <c r="B102" s="886" t="str">
        <f>IF(Intro!$G$21="English",O102,P102)</f>
        <v>Emploi direct</v>
      </c>
      <c r="C102" s="887"/>
      <c r="D102" s="887"/>
      <c r="E102" s="887"/>
      <c r="F102" s="887"/>
      <c r="G102" s="289" t="s">
        <v>226</v>
      </c>
      <c r="H102" s="279"/>
      <c r="I102" s="279"/>
      <c r="J102" s="279"/>
      <c r="K102" s="279"/>
      <c r="L102" s="282"/>
      <c r="O102" s="157" t="s">
        <v>68</v>
      </c>
      <c r="P102" s="157" t="s">
        <v>69</v>
      </c>
    </row>
    <row r="103" spans="1:16" s="157" customFormat="1" x14ac:dyDescent="0.25">
      <c r="A103" s="200"/>
      <c r="B103" s="886" t="str">
        <f>IF(Intro!$G$21="English",O103,P103)</f>
        <v>Emploi indirect</v>
      </c>
      <c r="C103" s="887"/>
      <c r="D103" s="887"/>
      <c r="E103" s="887"/>
      <c r="F103" s="887"/>
      <c r="G103" s="289" t="s">
        <v>226</v>
      </c>
      <c r="H103" s="279"/>
      <c r="I103" s="279"/>
      <c r="J103" s="279"/>
      <c r="K103" s="279"/>
      <c r="L103" s="282"/>
      <c r="O103" s="13" t="s">
        <v>70</v>
      </c>
      <c r="P103" s="12" t="s">
        <v>71</v>
      </c>
    </row>
    <row r="104" spans="1:16" s="181" customFormat="1" x14ac:dyDescent="0.25">
      <c r="A104" s="217"/>
      <c r="B104" s="879" t="str">
        <f>IF(Intro!$G$21="English",O104,P104)</f>
        <v>Total</v>
      </c>
      <c r="C104" s="880"/>
      <c r="D104" s="880"/>
      <c r="E104" s="880"/>
      <c r="F104" s="880"/>
      <c r="G104" s="297" t="s">
        <v>226</v>
      </c>
      <c r="H104" s="294">
        <f>H102+H103</f>
        <v>0</v>
      </c>
      <c r="I104" s="294">
        <f t="shared" ref="I104:J104" si="6">I102+I103</f>
        <v>0</v>
      </c>
      <c r="J104" s="294">
        <f t="shared" si="6"/>
        <v>0</v>
      </c>
      <c r="K104" s="294">
        <f t="shared" ref="K104:L104" si="7">K102+K103</f>
        <v>0</v>
      </c>
      <c r="L104" s="296">
        <f t="shared" si="7"/>
        <v>0</v>
      </c>
      <c r="O104" s="4" t="s">
        <v>45</v>
      </c>
      <c r="P104" s="4" t="s">
        <v>45</v>
      </c>
    </row>
    <row r="105" spans="1:16" s="12" customFormat="1" x14ac:dyDescent="0.25">
      <c r="A105" s="14"/>
      <c r="B105" s="186"/>
      <c r="C105" s="187"/>
      <c r="G105" s="32"/>
      <c r="H105" s="33"/>
      <c r="I105" s="33"/>
      <c r="J105" s="33"/>
      <c r="K105" s="33"/>
      <c r="L105" s="33"/>
      <c r="O105" s="13"/>
    </row>
    <row r="106" spans="1:16" s="12" customFormat="1" x14ac:dyDescent="0.25">
      <c r="A106" s="14"/>
      <c r="B106" s="891" t="str">
        <f>IF(Intro!$G$21="English",O106,P106)</f>
        <v>Nombre d'heures travaillées</v>
      </c>
      <c r="C106" s="892"/>
      <c r="D106" s="892"/>
      <c r="E106" s="892"/>
      <c r="F106" s="892"/>
      <c r="G106" s="893"/>
      <c r="H106" s="851">
        <f>Variables!$B$6</f>
        <v>2022</v>
      </c>
      <c r="I106" s="851">
        <f>H106+1</f>
        <v>2023</v>
      </c>
      <c r="J106" s="851">
        <f>I106+1</f>
        <v>2024</v>
      </c>
      <c r="K106" s="851" t="str">
        <f>K100</f>
        <v>janv-sept 2024</v>
      </c>
      <c r="L106" s="872" t="str">
        <f>L100</f>
        <v>janv-sept 2025</v>
      </c>
      <c r="O106" s="13" t="s">
        <v>227</v>
      </c>
      <c r="P106" s="13" t="s">
        <v>228</v>
      </c>
    </row>
    <row r="107" spans="1:16" s="12" customFormat="1" x14ac:dyDescent="0.25">
      <c r="A107" s="14"/>
      <c r="B107" s="894"/>
      <c r="C107" s="895"/>
      <c r="D107" s="895"/>
      <c r="E107" s="895"/>
      <c r="F107" s="895"/>
      <c r="G107" s="896"/>
      <c r="H107" s="852"/>
      <c r="I107" s="852"/>
      <c r="J107" s="852"/>
      <c r="K107" s="852"/>
      <c r="L107" s="873"/>
      <c r="O107" s="13"/>
      <c r="P107" s="13"/>
    </row>
    <row r="108" spans="1:16" s="157" customFormat="1" x14ac:dyDescent="0.25">
      <c r="A108" s="200"/>
      <c r="B108" s="886" t="str">
        <f>B102</f>
        <v>Emploi direct</v>
      </c>
      <c r="C108" s="887"/>
      <c r="D108" s="887"/>
      <c r="E108" s="887"/>
      <c r="F108" s="887"/>
      <c r="G108" s="289" t="s">
        <v>226</v>
      </c>
      <c r="H108" s="279"/>
      <c r="I108" s="279"/>
      <c r="J108" s="279"/>
      <c r="K108" s="279"/>
      <c r="L108" s="282"/>
    </row>
    <row r="109" spans="1:16" s="157" customFormat="1" x14ac:dyDescent="0.25">
      <c r="A109" s="200"/>
      <c r="B109" s="886" t="str">
        <f>B103</f>
        <v>Emploi indirect</v>
      </c>
      <c r="C109" s="887"/>
      <c r="D109" s="887"/>
      <c r="E109" s="887"/>
      <c r="F109" s="887"/>
      <c r="G109" s="289" t="s">
        <v>226</v>
      </c>
      <c r="H109" s="279"/>
      <c r="I109" s="279"/>
      <c r="J109" s="279"/>
      <c r="K109" s="279"/>
      <c r="L109" s="282"/>
      <c r="O109" s="13"/>
      <c r="P109" s="12"/>
    </row>
    <row r="110" spans="1:16" s="181" customFormat="1" x14ac:dyDescent="0.25">
      <c r="A110" s="217"/>
      <c r="B110" s="879" t="str">
        <f>B104</f>
        <v>Total</v>
      </c>
      <c r="C110" s="880"/>
      <c r="D110" s="880"/>
      <c r="E110" s="880"/>
      <c r="F110" s="880"/>
      <c r="G110" s="297" t="s">
        <v>226</v>
      </c>
      <c r="H110" s="294">
        <f>H108+H109</f>
        <v>0</v>
      </c>
      <c r="I110" s="294">
        <f t="shared" ref="I110" si="8">I108+I109</f>
        <v>0</v>
      </c>
      <c r="J110" s="294">
        <f t="shared" ref="J110:K110" si="9">J108+J109</f>
        <v>0</v>
      </c>
      <c r="K110" s="294">
        <f t="shared" si="9"/>
        <v>0</v>
      </c>
      <c r="L110" s="296">
        <f t="shared" ref="L110" si="10">L108+L109</f>
        <v>0</v>
      </c>
      <c r="O110" s="4"/>
      <c r="P110" s="4"/>
    </row>
    <row r="111" spans="1:16" s="12" customFormat="1" x14ac:dyDescent="0.25">
      <c r="A111" s="14"/>
      <c r="B111" s="186"/>
      <c r="C111" s="187"/>
      <c r="G111" s="32"/>
      <c r="H111" s="33"/>
      <c r="I111" s="33"/>
      <c r="J111" s="33"/>
      <c r="K111" s="33"/>
      <c r="L111" s="33"/>
      <c r="O111" s="13"/>
    </row>
    <row r="112" spans="1:16" s="12" customFormat="1" x14ac:dyDescent="0.25">
      <c r="A112" s="14"/>
      <c r="B112" s="891" t="str">
        <f>IF(Intro!$G$21="English",O112,P112)</f>
        <v>Salaires payés</v>
      </c>
      <c r="C112" s="892"/>
      <c r="D112" s="892"/>
      <c r="E112" s="892"/>
      <c r="F112" s="892"/>
      <c r="G112" s="893"/>
      <c r="H112" s="851">
        <f>Variables!$B$6</f>
        <v>2022</v>
      </c>
      <c r="I112" s="851">
        <f>H112+1</f>
        <v>2023</v>
      </c>
      <c r="J112" s="851">
        <f>I112+1</f>
        <v>2024</v>
      </c>
      <c r="K112" s="851" t="str">
        <f>K106</f>
        <v>janv-sept 2024</v>
      </c>
      <c r="L112" s="872" t="str">
        <f>L106</f>
        <v>janv-sept 2025</v>
      </c>
      <c r="O112" s="13" t="s">
        <v>450</v>
      </c>
      <c r="P112" s="13" t="s">
        <v>451</v>
      </c>
    </row>
    <row r="113" spans="1:16" s="12" customFormat="1" x14ac:dyDescent="0.25">
      <c r="A113" s="14"/>
      <c r="B113" s="894"/>
      <c r="C113" s="895"/>
      <c r="D113" s="895"/>
      <c r="E113" s="895"/>
      <c r="F113" s="895"/>
      <c r="G113" s="896"/>
      <c r="H113" s="852"/>
      <c r="I113" s="852"/>
      <c r="J113" s="852"/>
      <c r="K113" s="852"/>
      <c r="L113" s="873"/>
      <c r="O113" s="13"/>
      <c r="P113" s="13"/>
    </row>
    <row r="114" spans="1:16" s="157" customFormat="1" x14ac:dyDescent="0.25">
      <c r="A114" s="200"/>
      <c r="B114" s="886" t="str">
        <f>IF(Intro!$G$21="English",O114,P114)</f>
        <v>Emploi direct - ventes nationales et ventes à l'exportation</v>
      </c>
      <c r="C114" s="887"/>
      <c r="D114" s="887"/>
      <c r="E114" s="887"/>
      <c r="F114" s="887"/>
      <c r="G114" s="289" t="s">
        <v>594</v>
      </c>
      <c r="H114" s="280">
        <f>H50+H62</f>
        <v>0</v>
      </c>
      <c r="I114" s="280">
        <f>I50+I62</f>
        <v>0</v>
      </c>
      <c r="J114" s="280">
        <f>J50+J62</f>
        <v>0</v>
      </c>
      <c r="K114" s="280">
        <f>K50+K62</f>
        <v>0</v>
      </c>
      <c r="L114" s="281">
        <f>L50+L62</f>
        <v>0</v>
      </c>
      <c r="O114" s="157" t="s">
        <v>229</v>
      </c>
      <c r="P114" s="157" t="s">
        <v>230</v>
      </c>
    </row>
    <row r="115" spans="1:16" s="157" customFormat="1" x14ac:dyDescent="0.25">
      <c r="A115" s="200"/>
      <c r="B115" s="886" t="str">
        <f>IF(Intro!$G$21="English",O115,P115)</f>
        <v>Emploi direct - utilisées à l'interne ou destinées à la transformation ultérieure à l’interne</v>
      </c>
      <c r="C115" s="887"/>
      <c r="D115" s="887"/>
      <c r="E115" s="887"/>
      <c r="F115" s="887"/>
      <c r="G115" s="289" t="s">
        <v>594</v>
      </c>
      <c r="H115" s="279"/>
      <c r="I115" s="279"/>
      <c r="J115" s="279"/>
      <c r="K115" s="279"/>
      <c r="L115" s="282"/>
      <c r="O115" s="157" t="s">
        <v>231</v>
      </c>
      <c r="P115" s="157" t="s">
        <v>232</v>
      </c>
    </row>
    <row r="116" spans="1:16" s="157" customFormat="1" x14ac:dyDescent="0.25">
      <c r="A116" s="200"/>
      <c r="B116" s="886" t="str">
        <f>B103</f>
        <v>Emploi indirect</v>
      </c>
      <c r="C116" s="887"/>
      <c r="D116" s="887"/>
      <c r="E116" s="887"/>
      <c r="F116" s="887"/>
      <c r="G116" s="289" t="s">
        <v>594</v>
      </c>
      <c r="H116" s="279"/>
      <c r="I116" s="279"/>
      <c r="J116" s="279"/>
      <c r="K116" s="279"/>
      <c r="L116" s="282"/>
      <c r="O116" s="13"/>
      <c r="P116" s="12"/>
    </row>
    <row r="117" spans="1:16" s="181" customFormat="1" x14ac:dyDescent="0.25">
      <c r="A117" s="217"/>
      <c r="B117" s="879" t="str">
        <f>B104</f>
        <v>Total</v>
      </c>
      <c r="C117" s="880"/>
      <c r="D117" s="880"/>
      <c r="E117" s="880"/>
      <c r="F117" s="880"/>
      <c r="G117" s="289" t="s">
        <v>594</v>
      </c>
      <c r="H117" s="294">
        <f>H114+H115+H116</f>
        <v>0</v>
      </c>
      <c r="I117" s="294">
        <f t="shared" ref="I117:J117" si="11">I114+I115+I116</f>
        <v>0</v>
      </c>
      <c r="J117" s="294">
        <f t="shared" si="11"/>
        <v>0</v>
      </c>
      <c r="K117" s="294">
        <f t="shared" ref="K117:L117" si="12">K114+K115+K116</f>
        <v>0</v>
      </c>
      <c r="L117" s="296">
        <f t="shared" si="12"/>
        <v>0</v>
      </c>
      <c r="O117" s="4"/>
      <c r="P117" s="4"/>
    </row>
    <row r="118" spans="1:16" s="157" customFormat="1" x14ac:dyDescent="0.25">
      <c r="A118" s="200"/>
      <c r="B118" s="201"/>
      <c r="C118" s="202"/>
      <c r="D118" s="202"/>
      <c r="E118" s="202"/>
      <c r="F118" s="202"/>
      <c r="G118" s="202"/>
      <c r="H118" s="202"/>
      <c r="I118" s="202"/>
      <c r="J118" s="202"/>
      <c r="K118" s="202"/>
      <c r="L118" s="203"/>
    </row>
    <row r="119" spans="1:16" s="12" customFormat="1" ht="14.1" customHeight="1" x14ac:dyDescent="0.25">
      <c r="A119" s="14"/>
      <c r="B119" s="672" t="str">
        <f>IF(Intro!$G$21="English",O119,P119)</f>
        <v>Remarque - Les statistiques suivantes sont basées sur les réponses fournies. Si les statistiques ne correspondent pas à l'expérience de votre entreprise, modifiez les réponses que vous avez fournies pour corriger les statistiques.</v>
      </c>
      <c r="C119" s="673"/>
      <c r="D119" s="673"/>
      <c r="E119" s="673"/>
      <c r="F119" s="673"/>
      <c r="G119" s="673"/>
      <c r="H119" s="673"/>
      <c r="I119" s="673"/>
      <c r="J119" s="673"/>
      <c r="K119" s="673"/>
      <c r="L119" s="674"/>
      <c r="O119" s="13" t="s">
        <v>233</v>
      </c>
      <c r="P119" s="12" t="s">
        <v>234</v>
      </c>
    </row>
    <row r="120" spans="1:16" s="12" customFormat="1" x14ac:dyDescent="0.25">
      <c r="A120" s="53"/>
      <c r="B120" s="672"/>
      <c r="C120" s="673"/>
      <c r="D120" s="673"/>
      <c r="E120" s="673"/>
      <c r="F120" s="673"/>
      <c r="G120" s="673"/>
      <c r="H120" s="673"/>
      <c r="I120" s="673"/>
      <c r="J120" s="673"/>
      <c r="K120" s="673"/>
      <c r="L120" s="674"/>
      <c r="O120" s="13"/>
    </row>
    <row r="121" spans="1:16" s="12" customFormat="1" x14ac:dyDescent="0.25">
      <c r="A121" s="14"/>
      <c r="B121" s="220"/>
      <c r="C121" s="221"/>
      <c r="G121" s="221"/>
      <c r="H121" s="831">
        <f>Variables!$B$6</f>
        <v>2022</v>
      </c>
      <c r="I121" s="831">
        <f>H121+1</f>
        <v>2023</v>
      </c>
      <c r="J121" s="831">
        <f>I121+1</f>
        <v>2024</v>
      </c>
      <c r="K121" s="831" t="str">
        <f>K112</f>
        <v>janv-sept 2024</v>
      </c>
      <c r="L121" s="846" t="str">
        <f>L112</f>
        <v>janv-sept 2025</v>
      </c>
      <c r="O121" s="13"/>
      <c r="P121" s="13"/>
    </row>
    <row r="122" spans="1:16" s="12" customFormat="1" x14ac:dyDescent="0.25">
      <c r="A122" s="14"/>
      <c r="B122" s="220"/>
      <c r="C122" s="221"/>
      <c r="G122" s="298"/>
      <c r="H122" s="831"/>
      <c r="I122" s="831"/>
      <c r="J122" s="831"/>
      <c r="K122" s="831"/>
      <c r="L122" s="846"/>
      <c r="O122" s="13"/>
      <c r="P122" s="13"/>
    </row>
    <row r="123" spans="1:16" s="157" customFormat="1" x14ac:dyDescent="0.25">
      <c r="A123" s="200"/>
      <c r="B123" s="898" t="str">
        <f>IF(Intro!$G$21="English",O123,P123)</f>
        <v>Volume de production par employé direct</v>
      </c>
      <c r="C123" s="899"/>
      <c r="D123" s="899"/>
      <c r="E123" s="899"/>
      <c r="F123" s="900"/>
      <c r="G123" s="289" t="str">
        <f>Variables!B23</f>
        <v>pieces</v>
      </c>
      <c r="H123" s="280">
        <f>IF(H102=0,0,'Pro 1'!G25/'Pro 3'!H102)</f>
        <v>0</v>
      </c>
      <c r="I123" s="280">
        <f>IF(I102=0,0,'Pro 1'!H25/'Pro 3'!I102)</f>
        <v>0</v>
      </c>
      <c r="J123" s="280">
        <f>IF(J102=0,0,'Pro 1'!I25/'Pro 3'!J102)</f>
        <v>0</v>
      </c>
      <c r="K123" s="280">
        <f>IF(K102=0,0,'Pro 1'!J25/'Pro 3'!K102)</f>
        <v>0</v>
      </c>
      <c r="L123" s="281">
        <f>IF(L102=0,0,'Pro 1'!K25/'Pro 3'!L102)</f>
        <v>0</v>
      </c>
      <c r="O123" s="157" t="s">
        <v>235</v>
      </c>
      <c r="P123" s="157" t="s">
        <v>236</v>
      </c>
    </row>
    <row r="124" spans="1:16" s="157" customFormat="1" x14ac:dyDescent="0.25">
      <c r="A124" s="200"/>
      <c r="B124" s="898" t="str">
        <f>IF(Intro!$G$21="English",O124,P124)</f>
        <v>Volume de production par heures d'emploi direct travaillées</v>
      </c>
      <c r="C124" s="899"/>
      <c r="D124" s="899"/>
      <c r="E124" s="899"/>
      <c r="F124" s="900"/>
      <c r="G124" s="289" t="str">
        <f>Variables!B23</f>
        <v>pieces</v>
      </c>
      <c r="H124" s="280">
        <f>IF(H108=0,0,'Pro 1'!G25/'Pro 3'!H108)</f>
        <v>0</v>
      </c>
      <c r="I124" s="280">
        <f>IF(I108=0,0,'Pro 1'!H25/'Pro 3'!I108)</f>
        <v>0</v>
      </c>
      <c r="J124" s="280">
        <f>IF(J108=0,0,'Pro 1'!I25/'Pro 3'!J108)</f>
        <v>0</v>
      </c>
      <c r="K124" s="280">
        <f>IF(K108=0,0,'Pro 1'!J25/'Pro 3'!K108)</f>
        <v>0</v>
      </c>
      <c r="L124" s="281">
        <f>IF(L108=0,0,'Pro 1'!K25/'Pro 3'!L108)</f>
        <v>0</v>
      </c>
      <c r="O124" s="13" t="s">
        <v>237</v>
      </c>
      <c r="P124" s="12" t="s">
        <v>238</v>
      </c>
    </row>
    <row r="125" spans="1:16" s="157" customFormat="1" x14ac:dyDescent="0.25">
      <c r="A125" s="200"/>
      <c r="B125" s="898" t="str">
        <f>IF(Intro!$G$21="English",O125,P125)</f>
        <v>Salaires totaux par employé direct</v>
      </c>
      <c r="C125" s="899"/>
      <c r="D125" s="899"/>
      <c r="E125" s="899"/>
      <c r="F125" s="900"/>
      <c r="G125" s="289" t="s">
        <v>594</v>
      </c>
      <c r="H125" s="280">
        <f>IF(H102=0,0,(H115+H114)/H102)</f>
        <v>0</v>
      </c>
      <c r="I125" s="280">
        <f>IF(I102=0,0,(I115+I114)/I102)</f>
        <v>0</v>
      </c>
      <c r="J125" s="280">
        <f>IF(J102=0,0,(J115+J114)/J102)</f>
        <v>0</v>
      </c>
      <c r="K125" s="280">
        <f>IF(K102=0,0,(K115+K114)/K102)</f>
        <v>0</v>
      </c>
      <c r="L125" s="281">
        <f>IF(L102=0,0,(L115+L114)/L102)</f>
        <v>0</v>
      </c>
      <c r="O125" s="157" t="s">
        <v>239</v>
      </c>
      <c r="P125" s="157" t="s">
        <v>240</v>
      </c>
    </row>
    <row r="126" spans="1:16" s="157" customFormat="1" x14ac:dyDescent="0.25">
      <c r="A126" s="200"/>
      <c r="B126" s="898" t="str">
        <f>IF(Intro!$G$21="English",O126,P126)</f>
        <v>Salaires totaux par employé indirect</v>
      </c>
      <c r="C126" s="899"/>
      <c r="D126" s="899"/>
      <c r="E126" s="899"/>
      <c r="F126" s="900"/>
      <c r="G126" s="289" t="s">
        <v>594</v>
      </c>
      <c r="H126" s="280">
        <f>IF(H103=0,0,H116/H103)</f>
        <v>0</v>
      </c>
      <c r="I126" s="280">
        <f>IF(I103=0,0,I116/I103)</f>
        <v>0</v>
      </c>
      <c r="J126" s="280">
        <f>IF(J103=0,0,J116/J103)</f>
        <v>0</v>
      </c>
      <c r="K126" s="280">
        <f>IF(K103=0,0,K116/K103)</f>
        <v>0</v>
      </c>
      <c r="L126" s="281">
        <f>IF(L103=0,0,L116/L103)</f>
        <v>0</v>
      </c>
      <c r="O126" s="157" t="s">
        <v>241</v>
      </c>
      <c r="P126" s="157" t="s">
        <v>242</v>
      </c>
    </row>
    <row r="127" spans="1:16" s="157" customFormat="1" x14ac:dyDescent="0.25">
      <c r="A127" s="200"/>
      <c r="B127" s="898" t="str">
        <f>IF(Intro!$G$21="English",O127,P127)</f>
        <v>Salaires horaires par employé direct</v>
      </c>
      <c r="C127" s="899"/>
      <c r="D127" s="899"/>
      <c r="E127" s="899"/>
      <c r="F127" s="900"/>
      <c r="G127" s="289" t="s">
        <v>594</v>
      </c>
      <c r="H127" s="280">
        <f>IF(H108=0,0,(H114+H115)/H108)</f>
        <v>0</v>
      </c>
      <c r="I127" s="280">
        <f>IF(I108=0,0,(I114+I115)/I108)</f>
        <v>0</v>
      </c>
      <c r="J127" s="280">
        <f>IF(J108=0,0,(J114+J115)/J108)</f>
        <v>0</v>
      </c>
      <c r="K127" s="280">
        <f>IF(K108=0,0,(K114+K115)/K108)</f>
        <v>0</v>
      </c>
      <c r="L127" s="281">
        <f>IF(L108=0,0,(L114+L115)/L108)</f>
        <v>0</v>
      </c>
      <c r="O127" s="157" t="s">
        <v>243</v>
      </c>
      <c r="P127" s="157" t="s">
        <v>452</v>
      </c>
    </row>
    <row r="128" spans="1:16" s="157" customFormat="1" x14ac:dyDescent="0.25">
      <c r="A128" s="200"/>
      <c r="B128" s="898" t="str">
        <f>IF(Intro!$G$21="English",O128,P128)</f>
        <v>Salaires horaires par employé indirect</v>
      </c>
      <c r="C128" s="899"/>
      <c r="D128" s="899"/>
      <c r="E128" s="899"/>
      <c r="F128" s="900"/>
      <c r="G128" s="289" t="s">
        <v>594</v>
      </c>
      <c r="H128" s="280">
        <f>IF(H109=0,0,H116/H109)</f>
        <v>0</v>
      </c>
      <c r="I128" s="280">
        <f>IF(I109=0,0,I116/I109)</f>
        <v>0</v>
      </c>
      <c r="J128" s="280">
        <f>IF(J109=0,0,J116/J109)</f>
        <v>0</v>
      </c>
      <c r="K128" s="280">
        <f>IF(K109=0,0,K116/K109)</f>
        <v>0</v>
      </c>
      <c r="L128" s="281">
        <f>IF(L109=0,0,L116/L109)</f>
        <v>0</v>
      </c>
      <c r="O128" s="157" t="s">
        <v>244</v>
      </c>
      <c r="P128" s="157" t="s">
        <v>453</v>
      </c>
    </row>
    <row r="129" spans="1:16" s="12" customFormat="1" x14ac:dyDescent="0.25">
      <c r="A129" s="14"/>
      <c r="B129" s="186"/>
      <c r="C129" s="187"/>
      <c r="D129" s="32"/>
      <c r="E129" s="33"/>
      <c r="F129" s="33"/>
      <c r="G129" s="33"/>
      <c r="H129" s="33"/>
      <c r="I129" s="33"/>
      <c r="J129" s="33"/>
      <c r="K129" s="33"/>
      <c r="L129" s="34"/>
      <c r="O129" s="13"/>
    </row>
    <row r="130" spans="1:16" s="3" customFormat="1" x14ac:dyDescent="0.25">
      <c r="A130" s="14"/>
      <c r="B130" s="767" t="s">
        <v>31</v>
      </c>
      <c r="C130" s="768"/>
      <c r="D130" s="768"/>
      <c r="E130" s="768"/>
      <c r="F130" s="768"/>
      <c r="G130" s="768"/>
      <c r="H130" s="768"/>
      <c r="I130" s="768"/>
      <c r="J130" s="768"/>
      <c r="K130" s="768"/>
      <c r="L130" s="769"/>
      <c r="M130" s="216"/>
    </row>
    <row r="131" spans="1:16" s="157" customFormat="1" x14ac:dyDescent="0.25">
      <c r="A131" s="200"/>
      <c r="B131" s="201"/>
      <c r="C131" s="202"/>
      <c r="D131" s="202"/>
      <c r="E131" s="202"/>
      <c r="F131" s="202"/>
      <c r="G131" s="202"/>
      <c r="H131" s="202"/>
      <c r="I131" s="202"/>
      <c r="J131" s="202"/>
      <c r="K131" s="202"/>
      <c r="L131" s="203"/>
    </row>
    <row r="132" spans="1:16" s="157" customFormat="1" x14ac:dyDescent="0.25">
      <c r="A132" s="200"/>
      <c r="B132" s="672" t="str">
        <f>IF(Intro!$G$21="English",O132,P132)</f>
        <v>Indiquez tout événement, p. ex. heures de travail réduites, mises à pied, grèves ou fermetures d’usine, autre qu'un congé, qui a influé sur la production des marchandises de votre entreprise depuis le 1er janvier 2022. En outre, pour chaque événement, indiquez l’année, la cause, la durée et le nombre d’employés directs touchés.</v>
      </c>
      <c r="C132" s="673"/>
      <c r="D132" s="673"/>
      <c r="E132" s="673"/>
      <c r="F132" s="673"/>
      <c r="G132" s="673"/>
      <c r="H132" s="673"/>
      <c r="I132" s="673"/>
      <c r="J132" s="673"/>
      <c r="K132" s="673"/>
      <c r="L132" s="674"/>
      <c r="O132" s="15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2022. For each event, identify the year, the cause, the duration and the number of direct employees affected.</v>
      </c>
      <c r="P132" s="15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2022. En outre, pour chaque événement, indiquez l’année, la cause, la durée et le nombre d’employés directs touchés.</v>
      </c>
    </row>
    <row r="133" spans="1:16" s="157" customFormat="1" x14ac:dyDescent="0.25">
      <c r="A133" s="200"/>
      <c r="B133" s="672"/>
      <c r="C133" s="673"/>
      <c r="D133" s="673"/>
      <c r="E133" s="673"/>
      <c r="F133" s="673"/>
      <c r="G133" s="673"/>
      <c r="H133" s="673"/>
      <c r="I133" s="673"/>
      <c r="J133" s="673"/>
      <c r="K133" s="673"/>
      <c r="L133" s="674"/>
      <c r="O133" s="157" t="s">
        <v>719</v>
      </c>
      <c r="P133" s="13" t="s">
        <v>720</v>
      </c>
    </row>
    <row r="134" spans="1:16" s="157" customFormat="1" x14ac:dyDescent="0.25">
      <c r="A134" s="200"/>
      <c r="B134" s="672"/>
      <c r="C134" s="673"/>
      <c r="D134" s="673"/>
      <c r="E134" s="673"/>
      <c r="F134" s="673"/>
      <c r="G134" s="673"/>
      <c r="H134" s="673"/>
      <c r="I134" s="673"/>
      <c r="J134" s="673"/>
      <c r="K134" s="673"/>
      <c r="L134" s="674"/>
      <c r="O134" s="157" t="s">
        <v>245</v>
      </c>
      <c r="P134" s="157" t="s">
        <v>246</v>
      </c>
    </row>
    <row r="135" spans="1:16" s="157" customFormat="1" x14ac:dyDescent="0.25">
      <c r="A135" s="200"/>
      <c r="B135" s="201"/>
      <c r="C135" s="202"/>
      <c r="D135" s="202"/>
      <c r="E135" s="202"/>
      <c r="F135" s="202"/>
      <c r="G135" s="202"/>
      <c r="H135" s="202"/>
      <c r="I135" s="202"/>
      <c r="J135" s="202"/>
      <c r="K135" s="202"/>
      <c r="L135" s="203"/>
      <c r="O135" s="157" t="s">
        <v>247</v>
      </c>
      <c r="P135" s="157" t="s">
        <v>248</v>
      </c>
    </row>
    <row r="136" spans="1:16" s="12" customFormat="1" x14ac:dyDescent="0.25">
      <c r="A136" s="14"/>
      <c r="B136" s="906" t="str">
        <f>IF(Intro!$G$21="English",O133,P133)</f>
        <v>Événement</v>
      </c>
      <c r="C136" s="851" t="str">
        <f>IF(Intro!$G$21="English",O134,P134)</f>
        <v>Année</v>
      </c>
      <c r="D136" s="851" t="str">
        <f>IF(Intro!$G$21="English",O135,P135)</f>
        <v xml:space="preserve">Durée  </v>
      </c>
      <c r="E136" s="831" t="str">
        <f>IF(Intro!$G$21="English",O136,P136)</f>
        <v>Nombre d'employés directs concernés</v>
      </c>
      <c r="F136" s="831"/>
      <c r="G136" s="831" t="str">
        <f>IF(Intro!$G$21="English",O137,P137)</f>
        <v>Raison</v>
      </c>
      <c r="H136" s="831"/>
      <c r="I136" s="831"/>
      <c r="J136" s="831"/>
      <c r="K136" s="831"/>
      <c r="L136" s="846"/>
      <c r="O136" s="157" t="s">
        <v>353</v>
      </c>
      <c r="P136" s="157" t="s">
        <v>354</v>
      </c>
    </row>
    <row r="137" spans="1:16" s="12" customFormat="1" x14ac:dyDescent="0.25">
      <c r="A137" s="14"/>
      <c r="B137" s="907"/>
      <c r="C137" s="852"/>
      <c r="D137" s="852"/>
      <c r="E137" s="831"/>
      <c r="F137" s="831"/>
      <c r="G137" s="831"/>
      <c r="H137" s="831"/>
      <c r="I137" s="831"/>
      <c r="J137" s="831"/>
      <c r="K137" s="831"/>
      <c r="L137" s="846"/>
      <c r="O137" s="13" t="s">
        <v>249</v>
      </c>
      <c r="P137" s="13" t="s">
        <v>250</v>
      </c>
    </row>
    <row r="138" spans="1:16" s="157" customFormat="1" x14ac:dyDescent="0.25">
      <c r="A138" s="200"/>
      <c r="B138" s="855" t="str">
        <f>IF(Intro!$G$21="English",O138,P138)</f>
        <v>Événement 1</v>
      </c>
      <c r="C138" s="669"/>
      <c r="D138" s="652"/>
      <c r="E138" s="652"/>
      <c r="F138" s="652"/>
      <c r="G138" s="652"/>
      <c r="H138" s="652"/>
      <c r="I138" s="652"/>
      <c r="J138" s="652"/>
      <c r="K138" s="652"/>
      <c r="L138" s="653"/>
      <c r="O138" s="13" t="s">
        <v>251</v>
      </c>
      <c r="P138" s="13" t="s">
        <v>252</v>
      </c>
    </row>
    <row r="139" spans="1:16" s="157" customFormat="1" x14ac:dyDescent="0.25">
      <c r="A139" s="200"/>
      <c r="B139" s="855"/>
      <c r="C139" s="669"/>
      <c r="D139" s="652"/>
      <c r="E139" s="652"/>
      <c r="F139" s="652"/>
      <c r="G139" s="652"/>
      <c r="H139" s="652"/>
      <c r="I139" s="652"/>
      <c r="J139" s="652"/>
      <c r="K139" s="652"/>
      <c r="L139" s="653"/>
      <c r="O139" s="13"/>
      <c r="P139" s="13"/>
    </row>
    <row r="140" spans="1:16" s="157" customFormat="1" x14ac:dyDescent="0.25">
      <c r="A140" s="200"/>
      <c r="B140" s="855"/>
      <c r="C140" s="669"/>
      <c r="D140" s="652"/>
      <c r="E140" s="652"/>
      <c r="F140" s="652"/>
      <c r="G140" s="652"/>
      <c r="H140" s="652"/>
      <c r="I140" s="652"/>
      <c r="J140" s="652"/>
      <c r="K140" s="652"/>
      <c r="L140" s="653"/>
      <c r="O140" s="13"/>
      <c r="P140" s="13"/>
    </row>
    <row r="141" spans="1:16" s="157" customFormat="1" x14ac:dyDescent="0.25">
      <c r="A141" s="200"/>
      <c r="B141" s="855"/>
      <c r="C141" s="669"/>
      <c r="D141" s="652"/>
      <c r="E141" s="652"/>
      <c r="F141" s="652"/>
      <c r="G141" s="652"/>
      <c r="H141" s="652"/>
      <c r="I141" s="652"/>
      <c r="J141" s="652"/>
      <c r="K141" s="652"/>
      <c r="L141" s="653"/>
      <c r="O141" s="13"/>
      <c r="P141" s="13"/>
    </row>
    <row r="142" spans="1:16" s="157" customFormat="1" x14ac:dyDescent="0.25">
      <c r="A142" s="200"/>
      <c r="B142" s="855"/>
      <c r="C142" s="669"/>
      <c r="D142" s="652"/>
      <c r="E142" s="652"/>
      <c r="F142" s="652"/>
      <c r="G142" s="652"/>
      <c r="H142" s="652"/>
      <c r="I142" s="652"/>
      <c r="J142" s="652"/>
      <c r="K142" s="652"/>
      <c r="L142" s="653"/>
      <c r="O142" s="13"/>
      <c r="P142" s="13"/>
    </row>
    <row r="143" spans="1:16" s="157" customFormat="1" x14ac:dyDescent="0.25">
      <c r="A143" s="200"/>
      <c r="B143" s="855"/>
      <c r="C143" s="669"/>
      <c r="D143" s="652"/>
      <c r="E143" s="652"/>
      <c r="F143" s="652"/>
      <c r="G143" s="652"/>
      <c r="H143" s="652"/>
      <c r="I143" s="652"/>
      <c r="J143" s="652"/>
      <c r="K143" s="652"/>
      <c r="L143" s="653"/>
      <c r="O143" s="13"/>
      <c r="P143" s="13"/>
    </row>
    <row r="144" spans="1:16" s="157" customFormat="1" x14ac:dyDescent="0.25">
      <c r="A144" s="200"/>
      <c r="B144" s="855"/>
      <c r="C144" s="669"/>
      <c r="D144" s="652"/>
      <c r="E144" s="652"/>
      <c r="F144" s="652"/>
      <c r="G144" s="652"/>
      <c r="H144" s="652"/>
      <c r="I144" s="652"/>
      <c r="J144" s="652"/>
      <c r="K144" s="652"/>
      <c r="L144" s="653"/>
      <c r="O144" s="13"/>
      <c r="P144" s="13"/>
    </row>
    <row r="145" spans="1:16" s="157" customFormat="1" x14ac:dyDescent="0.25">
      <c r="A145" s="200"/>
      <c r="B145" s="855"/>
      <c r="C145" s="669"/>
      <c r="D145" s="652"/>
      <c r="E145" s="652"/>
      <c r="F145" s="652"/>
      <c r="G145" s="652"/>
      <c r="H145" s="652"/>
      <c r="I145" s="652"/>
      <c r="J145" s="652"/>
      <c r="K145" s="652"/>
      <c r="L145" s="653"/>
      <c r="O145" s="13"/>
      <c r="P145" s="13"/>
    </row>
    <row r="146" spans="1:16" s="157" customFormat="1" x14ac:dyDescent="0.25">
      <c r="A146" s="200"/>
      <c r="B146" s="855"/>
      <c r="C146" s="669"/>
      <c r="D146" s="652"/>
      <c r="E146" s="652"/>
      <c r="F146" s="652"/>
      <c r="G146" s="652"/>
      <c r="H146" s="652"/>
      <c r="I146" s="652"/>
      <c r="J146" s="652"/>
      <c r="K146" s="652"/>
      <c r="L146" s="653"/>
      <c r="O146" s="13"/>
      <c r="P146" s="13"/>
    </row>
    <row r="147" spans="1:16" s="157" customFormat="1" x14ac:dyDescent="0.25">
      <c r="A147" s="200"/>
      <c r="B147" s="855"/>
      <c r="C147" s="669"/>
      <c r="D147" s="652"/>
      <c r="E147" s="652"/>
      <c r="F147" s="652"/>
      <c r="G147" s="652"/>
      <c r="H147" s="652"/>
      <c r="I147" s="652"/>
      <c r="J147" s="652"/>
      <c r="K147" s="652"/>
      <c r="L147" s="653"/>
      <c r="O147" s="13"/>
      <c r="P147" s="13"/>
    </row>
    <row r="148" spans="1:16" s="157" customFormat="1" x14ac:dyDescent="0.25">
      <c r="A148" s="200"/>
      <c r="B148" s="855" t="str">
        <f>IF(Intro!$G$21="English",O148,P148)</f>
        <v>Événement 2</v>
      </c>
      <c r="C148" s="669"/>
      <c r="D148" s="652"/>
      <c r="E148" s="652"/>
      <c r="F148" s="652"/>
      <c r="G148" s="652"/>
      <c r="H148" s="652"/>
      <c r="I148" s="652"/>
      <c r="J148" s="652"/>
      <c r="K148" s="652"/>
      <c r="L148" s="653"/>
      <c r="O148" s="13" t="s">
        <v>253</v>
      </c>
      <c r="P148" s="13" t="s">
        <v>254</v>
      </c>
    </row>
    <row r="149" spans="1:16" s="157" customFormat="1" x14ac:dyDescent="0.25">
      <c r="A149" s="200"/>
      <c r="B149" s="855"/>
      <c r="C149" s="669"/>
      <c r="D149" s="652"/>
      <c r="E149" s="652"/>
      <c r="F149" s="652"/>
      <c r="G149" s="652"/>
      <c r="H149" s="652"/>
      <c r="I149" s="652"/>
      <c r="J149" s="652"/>
      <c r="K149" s="652"/>
      <c r="L149" s="653"/>
    </row>
    <row r="150" spans="1:16" s="157" customFormat="1" x14ac:dyDescent="0.25">
      <c r="A150" s="200"/>
      <c r="B150" s="855"/>
      <c r="C150" s="669"/>
      <c r="D150" s="652"/>
      <c r="E150" s="652"/>
      <c r="F150" s="652"/>
      <c r="G150" s="652"/>
      <c r="H150" s="652"/>
      <c r="I150" s="652"/>
      <c r="J150" s="652"/>
      <c r="K150" s="652"/>
      <c r="L150" s="653"/>
    </row>
    <row r="151" spans="1:16" s="157" customFormat="1" x14ac:dyDescent="0.25">
      <c r="A151" s="200"/>
      <c r="B151" s="855"/>
      <c r="C151" s="669"/>
      <c r="D151" s="652"/>
      <c r="E151" s="652"/>
      <c r="F151" s="652"/>
      <c r="G151" s="652"/>
      <c r="H151" s="652"/>
      <c r="I151" s="652"/>
      <c r="J151" s="652"/>
      <c r="K151" s="652"/>
      <c r="L151" s="653"/>
      <c r="O151" s="13"/>
      <c r="P151" s="13"/>
    </row>
    <row r="152" spans="1:16" s="157" customFormat="1" x14ac:dyDescent="0.25">
      <c r="A152" s="200"/>
      <c r="B152" s="855"/>
      <c r="C152" s="669"/>
      <c r="D152" s="652"/>
      <c r="E152" s="652"/>
      <c r="F152" s="652"/>
      <c r="G152" s="652"/>
      <c r="H152" s="652"/>
      <c r="I152" s="652"/>
      <c r="J152" s="652"/>
      <c r="K152" s="652"/>
      <c r="L152" s="653"/>
      <c r="O152" s="13"/>
      <c r="P152" s="13"/>
    </row>
    <row r="153" spans="1:16" s="157" customFormat="1" x14ac:dyDescent="0.25">
      <c r="A153" s="200"/>
      <c r="B153" s="855"/>
      <c r="C153" s="669"/>
      <c r="D153" s="652"/>
      <c r="E153" s="652"/>
      <c r="F153" s="652"/>
      <c r="G153" s="652"/>
      <c r="H153" s="652"/>
      <c r="I153" s="652"/>
      <c r="J153" s="652"/>
      <c r="K153" s="652"/>
      <c r="L153" s="653"/>
      <c r="O153" s="13"/>
      <c r="P153" s="13"/>
    </row>
    <row r="154" spans="1:16" s="157" customFormat="1" x14ac:dyDescent="0.25">
      <c r="A154" s="200"/>
      <c r="B154" s="855"/>
      <c r="C154" s="669"/>
      <c r="D154" s="652"/>
      <c r="E154" s="652"/>
      <c r="F154" s="652"/>
      <c r="G154" s="652"/>
      <c r="H154" s="652"/>
      <c r="I154" s="652"/>
      <c r="J154" s="652"/>
      <c r="K154" s="652"/>
      <c r="L154" s="653"/>
      <c r="O154" s="13"/>
      <c r="P154" s="13"/>
    </row>
    <row r="155" spans="1:16" s="157" customFormat="1" x14ac:dyDescent="0.25">
      <c r="A155" s="200"/>
      <c r="B155" s="855"/>
      <c r="C155" s="669"/>
      <c r="D155" s="652"/>
      <c r="E155" s="652"/>
      <c r="F155" s="652"/>
      <c r="G155" s="652"/>
      <c r="H155" s="652"/>
      <c r="I155" s="652"/>
      <c r="J155" s="652"/>
      <c r="K155" s="652"/>
      <c r="L155" s="653"/>
      <c r="O155" s="13"/>
      <c r="P155" s="13"/>
    </row>
    <row r="156" spans="1:16" s="157" customFormat="1" x14ac:dyDescent="0.25">
      <c r="A156" s="200"/>
      <c r="B156" s="855"/>
      <c r="C156" s="669"/>
      <c r="D156" s="652"/>
      <c r="E156" s="652"/>
      <c r="F156" s="652"/>
      <c r="G156" s="652"/>
      <c r="H156" s="652"/>
      <c r="I156" s="652"/>
      <c r="J156" s="652"/>
      <c r="K156" s="652"/>
      <c r="L156" s="653"/>
      <c r="O156" s="13"/>
      <c r="P156" s="13"/>
    </row>
    <row r="157" spans="1:16" s="157" customFormat="1" x14ac:dyDescent="0.25">
      <c r="A157" s="200"/>
      <c r="B157" s="855"/>
      <c r="C157" s="669"/>
      <c r="D157" s="652"/>
      <c r="E157" s="652"/>
      <c r="F157" s="652"/>
      <c r="G157" s="652"/>
      <c r="H157" s="652"/>
      <c r="I157" s="652"/>
      <c r="J157" s="652"/>
      <c r="K157" s="652"/>
      <c r="L157" s="653"/>
      <c r="O157" s="13"/>
      <c r="P157" s="13"/>
    </row>
    <row r="158" spans="1:16" s="157" customFormat="1" x14ac:dyDescent="0.25">
      <c r="A158" s="200"/>
      <c r="B158" s="855" t="str">
        <f>IF(Intro!$G$21="English",O158,P158)</f>
        <v>Événement 3</v>
      </c>
      <c r="C158" s="669"/>
      <c r="D158" s="652"/>
      <c r="E158" s="652"/>
      <c r="F158" s="652"/>
      <c r="G158" s="652"/>
      <c r="H158" s="652"/>
      <c r="I158" s="652"/>
      <c r="J158" s="652"/>
      <c r="K158" s="652"/>
      <c r="L158" s="653"/>
      <c r="O158" s="13" t="s">
        <v>255</v>
      </c>
      <c r="P158" s="13" t="s">
        <v>256</v>
      </c>
    </row>
    <row r="159" spans="1:16" s="157" customFormat="1" x14ac:dyDescent="0.25">
      <c r="A159" s="200"/>
      <c r="B159" s="855"/>
      <c r="C159" s="669"/>
      <c r="D159" s="652"/>
      <c r="E159" s="652"/>
      <c r="F159" s="652"/>
      <c r="G159" s="652"/>
      <c r="H159" s="652"/>
      <c r="I159" s="652"/>
      <c r="J159" s="652"/>
      <c r="K159" s="652"/>
      <c r="L159" s="653"/>
    </row>
    <row r="160" spans="1:16" s="157" customFormat="1" x14ac:dyDescent="0.25">
      <c r="A160" s="200"/>
      <c r="B160" s="855"/>
      <c r="C160" s="669"/>
      <c r="D160" s="652"/>
      <c r="E160" s="652"/>
      <c r="F160" s="652"/>
      <c r="G160" s="652"/>
      <c r="H160" s="652"/>
      <c r="I160" s="652"/>
      <c r="J160" s="652"/>
      <c r="K160" s="652"/>
      <c r="L160" s="653"/>
      <c r="O160" s="13"/>
      <c r="P160" s="13"/>
    </row>
    <row r="161" spans="1:16" s="157" customFormat="1" x14ac:dyDescent="0.25">
      <c r="A161" s="200"/>
      <c r="B161" s="855"/>
      <c r="C161" s="669"/>
      <c r="D161" s="652"/>
      <c r="E161" s="652"/>
      <c r="F161" s="652"/>
      <c r="G161" s="652"/>
      <c r="H161" s="652"/>
      <c r="I161" s="652"/>
      <c r="J161" s="652"/>
      <c r="K161" s="652"/>
      <c r="L161" s="653"/>
      <c r="O161" s="13"/>
      <c r="P161" s="13"/>
    </row>
    <row r="162" spans="1:16" s="157" customFormat="1" x14ac:dyDescent="0.25">
      <c r="A162" s="200"/>
      <c r="B162" s="855"/>
      <c r="C162" s="669"/>
      <c r="D162" s="652"/>
      <c r="E162" s="652"/>
      <c r="F162" s="652"/>
      <c r="G162" s="652"/>
      <c r="H162" s="652"/>
      <c r="I162" s="652"/>
      <c r="J162" s="652"/>
      <c r="K162" s="652"/>
      <c r="L162" s="653"/>
      <c r="O162" s="13"/>
      <c r="P162" s="13"/>
    </row>
    <row r="163" spans="1:16" s="157" customFormat="1" x14ac:dyDescent="0.25">
      <c r="A163" s="200"/>
      <c r="B163" s="855"/>
      <c r="C163" s="669"/>
      <c r="D163" s="652"/>
      <c r="E163" s="652"/>
      <c r="F163" s="652"/>
      <c r="G163" s="652"/>
      <c r="H163" s="652"/>
      <c r="I163" s="652"/>
      <c r="J163" s="652"/>
      <c r="K163" s="652"/>
      <c r="L163" s="653"/>
      <c r="O163" s="13"/>
      <c r="P163" s="13"/>
    </row>
    <row r="164" spans="1:16" s="157" customFormat="1" x14ac:dyDescent="0.25">
      <c r="A164" s="200"/>
      <c r="B164" s="855"/>
      <c r="C164" s="669"/>
      <c r="D164" s="652"/>
      <c r="E164" s="652"/>
      <c r="F164" s="652"/>
      <c r="G164" s="652"/>
      <c r="H164" s="652"/>
      <c r="I164" s="652"/>
      <c r="J164" s="652"/>
      <c r="K164" s="652"/>
      <c r="L164" s="653"/>
      <c r="O164" s="13"/>
      <c r="P164" s="13"/>
    </row>
    <row r="165" spans="1:16" s="157" customFormat="1" x14ac:dyDescent="0.25">
      <c r="A165" s="200"/>
      <c r="B165" s="855"/>
      <c r="C165" s="669"/>
      <c r="D165" s="652"/>
      <c r="E165" s="652"/>
      <c r="F165" s="652"/>
      <c r="G165" s="652"/>
      <c r="H165" s="652"/>
      <c r="I165" s="652"/>
      <c r="J165" s="652"/>
      <c r="K165" s="652"/>
      <c r="L165" s="653"/>
      <c r="O165" s="13"/>
      <c r="P165" s="13"/>
    </row>
    <row r="166" spans="1:16" s="157" customFormat="1" x14ac:dyDescent="0.25">
      <c r="A166" s="200"/>
      <c r="B166" s="855"/>
      <c r="C166" s="669"/>
      <c r="D166" s="652"/>
      <c r="E166" s="652"/>
      <c r="F166" s="652"/>
      <c r="G166" s="652"/>
      <c r="H166" s="652"/>
      <c r="I166" s="652"/>
      <c r="J166" s="652"/>
      <c r="K166" s="652"/>
      <c r="L166" s="653"/>
      <c r="O166" s="13"/>
      <c r="P166" s="13"/>
    </row>
    <row r="167" spans="1:16" s="157" customFormat="1" x14ac:dyDescent="0.25">
      <c r="A167" s="200"/>
      <c r="B167" s="855"/>
      <c r="C167" s="669"/>
      <c r="D167" s="652"/>
      <c r="E167" s="652"/>
      <c r="F167" s="652"/>
      <c r="G167" s="652"/>
      <c r="H167" s="652"/>
      <c r="I167" s="652"/>
      <c r="J167" s="652"/>
      <c r="K167" s="652"/>
      <c r="L167" s="653"/>
      <c r="O167" s="13"/>
      <c r="P167" s="13"/>
    </row>
    <row r="168" spans="1:16" s="157" customFormat="1" x14ac:dyDescent="0.25">
      <c r="A168" s="200"/>
      <c r="B168" s="855" t="str">
        <f>IF(Intro!$G$21="English",O168,P168)</f>
        <v>Événement 4</v>
      </c>
      <c r="C168" s="669"/>
      <c r="D168" s="652"/>
      <c r="E168" s="652"/>
      <c r="F168" s="652"/>
      <c r="G168" s="652"/>
      <c r="H168" s="652"/>
      <c r="I168" s="652"/>
      <c r="J168" s="652"/>
      <c r="K168" s="652"/>
      <c r="L168" s="653"/>
      <c r="O168" s="13" t="s">
        <v>257</v>
      </c>
      <c r="P168" s="13" t="s">
        <v>258</v>
      </c>
    </row>
    <row r="169" spans="1:16" s="157" customFormat="1" x14ac:dyDescent="0.25">
      <c r="A169" s="200"/>
      <c r="B169" s="855"/>
      <c r="C169" s="669"/>
      <c r="D169" s="652"/>
      <c r="E169" s="652"/>
      <c r="F169" s="652"/>
      <c r="G169" s="652"/>
      <c r="H169" s="652"/>
      <c r="I169" s="652"/>
      <c r="J169" s="652"/>
      <c r="K169" s="652"/>
      <c r="L169" s="653"/>
    </row>
    <row r="170" spans="1:16" s="157" customFormat="1" x14ac:dyDescent="0.25">
      <c r="A170" s="200"/>
      <c r="B170" s="855"/>
      <c r="C170" s="669"/>
      <c r="D170" s="652"/>
      <c r="E170" s="652"/>
      <c r="F170" s="652"/>
      <c r="G170" s="652"/>
      <c r="H170" s="652"/>
      <c r="I170" s="652"/>
      <c r="J170" s="652"/>
      <c r="K170" s="652"/>
      <c r="L170" s="653"/>
      <c r="O170" s="13"/>
      <c r="P170" s="13"/>
    </row>
    <row r="171" spans="1:16" s="157" customFormat="1" x14ac:dyDescent="0.25">
      <c r="A171" s="200"/>
      <c r="B171" s="855"/>
      <c r="C171" s="669"/>
      <c r="D171" s="652"/>
      <c r="E171" s="652"/>
      <c r="F171" s="652"/>
      <c r="G171" s="652"/>
      <c r="H171" s="652"/>
      <c r="I171" s="652"/>
      <c r="J171" s="652"/>
      <c r="K171" s="652"/>
      <c r="L171" s="653"/>
      <c r="O171" s="13"/>
      <c r="P171" s="13"/>
    </row>
    <row r="172" spans="1:16" s="157" customFormat="1" x14ac:dyDescent="0.25">
      <c r="A172" s="200"/>
      <c r="B172" s="855"/>
      <c r="C172" s="669"/>
      <c r="D172" s="652"/>
      <c r="E172" s="652"/>
      <c r="F172" s="652"/>
      <c r="G172" s="652"/>
      <c r="H172" s="652"/>
      <c r="I172" s="652"/>
      <c r="J172" s="652"/>
      <c r="K172" s="652"/>
      <c r="L172" s="653"/>
      <c r="O172" s="13"/>
      <c r="P172" s="13"/>
    </row>
    <row r="173" spans="1:16" s="157" customFormat="1" x14ac:dyDescent="0.25">
      <c r="A173" s="200"/>
      <c r="B173" s="855"/>
      <c r="C173" s="669"/>
      <c r="D173" s="652"/>
      <c r="E173" s="652"/>
      <c r="F173" s="652"/>
      <c r="G173" s="652"/>
      <c r="H173" s="652"/>
      <c r="I173" s="652"/>
      <c r="J173" s="652"/>
      <c r="K173" s="652"/>
      <c r="L173" s="653"/>
      <c r="O173" s="13"/>
      <c r="P173" s="13"/>
    </row>
    <row r="174" spans="1:16" s="157" customFormat="1" x14ac:dyDescent="0.25">
      <c r="A174" s="200"/>
      <c r="B174" s="855"/>
      <c r="C174" s="669"/>
      <c r="D174" s="652"/>
      <c r="E174" s="652"/>
      <c r="F174" s="652"/>
      <c r="G174" s="652"/>
      <c r="H174" s="652"/>
      <c r="I174" s="652"/>
      <c r="J174" s="652"/>
      <c r="K174" s="652"/>
      <c r="L174" s="653"/>
      <c r="O174" s="13"/>
      <c r="P174" s="13"/>
    </row>
    <row r="175" spans="1:16" s="157" customFormat="1" x14ac:dyDescent="0.25">
      <c r="A175" s="200"/>
      <c r="B175" s="855"/>
      <c r="C175" s="669"/>
      <c r="D175" s="652"/>
      <c r="E175" s="652"/>
      <c r="F175" s="652"/>
      <c r="G175" s="652"/>
      <c r="H175" s="652"/>
      <c r="I175" s="652"/>
      <c r="J175" s="652"/>
      <c r="K175" s="652"/>
      <c r="L175" s="653"/>
      <c r="O175" s="13"/>
      <c r="P175" s="13"/>
    </row>
    <row r="176" spans="1:16" s="157" customFormat="1" x14ac:dyDescent="0.25">
      <c r="A176" s="200"/>
      <c r="B176" s="855"/>
      <c r="C176" s="669"/>
      <c r="D176" s="652"/>
      <c r="E176" s="652"/>
      <c r="F176" s="652"/>
      <c r="G176" s="652"/>
      <c r="H176" s="652"/>
      <c r="I176" s="652"/>
      <c r="J176" s="652"/>
      <c r="K176" s="652"/>
      <c r="L176" s="653"/>
      <c r="O176" s="13"/>
      <c r="P176" s="13"/>
    </row>
    <row r="177" spans="1:16" s="157" customFormat="1" x14ac:dyDescent="0.25">
      <c r="A177" s="200"/>
      <c r="B177" s="855"/>
      <c r="C177" s="669"/>
      <c r="D177" s="652"/>
      <c r="E177" s="652"/>
      <c r="F177" s="652"/>
      <c r="G177" s="652"/>
      <c r="H177" s="652"/>
      <c r="I177" s="652"/>
      <c r="J177" s="652"/>
      <c r="K177" s="652"/>
      <c r="L177" s="653"/>
      <c r="O177" s="13"/>
      <c r="P177" s="13"/>
    </row>
    <row r="178" spans="1:16" s="157" customFormat="1" x14ac:dyDescent="0.25">
      <c r="A178" s="200"/>
      <c r="B178" s="855" t="str">
        <f>IF(Intro!$G$21="English",O178,P178)</f>
        <v>Événement 5</v>
      </c>
      <c r="C178" s="669"/>
      <c r="D178" s="652"/>
      <c r="E178" s="652"/>
      <c r="F178" s="652"/>
      <c r="G178" s="652"/>
      <c r="H178" s="652"/>
      <c r="I178" s="652"/>
      <c r="J178" s="652"/>
      <c r="K178" s="652"/>
      <c r="L178" s="653"/>
      <c r="O178" s="13" t="s">
        <v>259</v>
      </c>
      <c r="P178" s="13" t="s">
        <v>260</v>
      </c>
    </row>
    <row r="179" spans="1:16" s="157" customFormat="1" x14ac:dyDescent="0.25">
      <c r="A179" s="200"/>
      <c r="B179" s="855"/>
      <c r="C179" s="669"/>
      <c r="D179" s="652"/>
      <c r="E179" s="652"/>
      <c r="F179" s="652"/>
      <c r="G179" s="652"/>
      <c r="H179" s="652"/>
      <c r="I179" s="652"/>
      <c r="J179" s="652"/>
      <c r="K179" s="652"/>
      <c r="L179" s="653"/>
      <c r="O179" s="13"/>
      <c r="P179" s="13"/>
    </row>
    <row r="180" spans="1:16" s="157" customFormat="1" x14ac:dyDescent="0.25">
      <c r="A180" s="200"/>
      <c r="B180" s="855"/>
      <c r="C180" s="669"/>
      <c r="D180" s="652"/>
      <c r="E180" s="652"/>
      <c r="F180" s="652"/>
      <c r="G180" s="652"/>
      <c r="H180" s="652"/>
      <c r="I180" s="652"/>
      <c r="J180" s="652"/>
      <c r="K180" s="652"/>
      <c r="L180" s="653"/>
      <c r="O180" s="13"/>
      <c r="P180" s="13"/>
    </row>
    <row r="181" spans="1:16" s="157" customFormat="1" x14ac:dyDescent="0.25">
      <c r="A181" s="200"/>
      <c r="B181" s="855"/>
      <c r="C181" s="669"/>
      <c r="D181" s="652"/>
      <c r="E181" s="652"/>
      <c r="F181" s="652"/>
      <c r="G181" s="652"/>
      <c r="H181" s="652"/>
      <c r="I181" s="652"/>
      <c r="J181" s="652"/>
      <c r="K181" s="652"/>
      <c r="L181" s="653"/>
      <c r="O181" s="13"/>
      <c r="P181" s="13"/>
    </row>
    <row r="182" spans="1:16" s="157" customFormat="1" x14ac:dyDescent="0.25">
      <c r="A182" s="200"/>
      <c r="B182" s="855"/>
      <c r="C182" s="669"/>
      <c r="D182" s="652"/>
      <c r="E182" s="652"/>
      <c r="F182" s="652"/>
      <c r="G182" s="652"/>
      <c r="H182" s="652"/>
      <c r="I182" s="652"/>
      <c r="J182" s="652"/>
      <c r="K182" s="652"/>
      <c r="L182" s="653"/>
      <c r="O182" s="13"/>
      <c r="P182" s="13"/>
    </row>
    <row r="183" spans="1:16" s="157" customFormat="1" x14ac:dyDescent="0.25">
      <c r="A183" s="200"/>
      <c r="B183" s="855"/>
      <c r="C183" s="669"/>
      <c r="D183" s="652"/>
      <c r="E183" s="652"/>
      <c r="F183" s="652"/>
      <c r="G183" s="652"/>
      <c r="H183" s="652"/>
      <c r="I183" s="652"/>
      <c r="J183" s="652"/>
      <c r="K183" s="652"/>
      <c r="L183" s="653"/>
      <c r="O183" s="13"/>
      <c r="P183" s="13"/>
    </row>
    <row r="184" spans="1:16" s="157" customFormat="1" x14ac:dyDescent="0.25">
      <c r="A184" s="200"/>
      <c r="B184" s="855"/>
      <c r="C184" s="669"/>
      <c r="D184" s="652"/>
      <c r="E184" s="652"/>
      <c r="F184" s="652"/>
      <c r="G184" s="652"/>
      <c r="H184" s="652"/>
      <c r="I184" s="652"/>
      <c r="J184" s="652"/>
      <c r="K184" s="652"/>
      <c r="L184" s="653"/>
      <c r="O184" s="13"/>
      <c r="P184" s="13"/>
    </row>
    <row r="185" spans="1:16" s="157" customFormat="1" x14ac:dyDescent="0.25">
      <c r="A185" s="200"/>
      <c r="B185" s="855"/>
      <c r="C185" s="669"/>
      <c r="D185" s="652"/>
      <c r="E185" s="652"/>
      <c r="F185" s="652"/>
      <c r="G185" s="652"/>
      <c r="H185" s="652"/>
      <c r="I185" s="652"/>
      <c r="J185" s="652"/>
      <c r="K185" s="652"/>
      <c r="L185" s="653"/>
      <c r="O185" s="13"/>
      <c r="P185" s="13"/>
    </row>
    <row r="186" spans="1:16" s="157" customFormat="1" x14ac:dyDescent="0.25">
      <c r="A186" s="200"/>
      <c r="B186" s="855"/>
      <c r="C186" s="669"/>
      <c r="D186" s="652"/>
      <c r="E186" s="652"/>
      <c r="F186" s="652"/>
      <c r="G186" s="652"/>
      <c r="H186" s="652"/>
      <c r="I186" s="652"/>
      <c r="J186" s="652"/>
      <c r="K186" s="652"/>
      <c r="L186" s="653"/>
      <c r="O186" s="13"/>
      <c r="P186" s="13"/>
    </row>
    <row r="187" spans="1:16" s="157" customFormat="1" x14ac:dyDescent="0.25">
      <c r="A187" s="200"/>
      <c r="B187" s="855"/>
      <c r="C187" s="669"/>
      <c r="D187" s="652"/>
      <c r="E187" s="652"/>
      <c r="F187" s="652"/>
      <c r="G187" s="652"/>
      <c r="H187" s="652"/>
      <c r="I187" s="652"/>
      <c r="J187" s="652"/>
      <c r="K187" s="652"/>
      <c r="L187" s="653"/>
      <c r="O187" s="13"/>
      <c r="P187" s="13"/>
    </row>
    <row r="188" spans="1:16" s="12" customFormat="1" x14ac:dyDescent="0.25">
      <c r="A188" s="14"/>
      <c r="B188" s="48"/>
      <c r="C188" s="158"/>
      <c r="D188" s="51"/>
      <c r="E188" s="42"/>
      <c r="F188" s="42"/>
      <c r="G188" s="42"/>
      <c r="H188" s="42"/>
      <c r="I188" s="42"/>
      <c r="J188" s="42"/>
      <c r="K188" s="42"/>
      <c r="L188" s="43"/>
      <c r="O188" s="13"/>
    </row>
    <row r="189" spans="1:16" s="12" customFormat="1" x14ac:dyDescent="0.25">
      <c r="A189" s="14"/>
      <c r="B189" s="159"/>
      <c r="C189" s="159"/>
      <c r="D189" s="44"/>
      <c r="E189" s="45"/>
      <c r="F189" s="45"/>
      <c r="G189" s="45"/>
      <c r="H189" s="45"/>
      <c r="I189" s="45"/>
      <c r="J189" s="45"/>
      <c r="K189" s="45"/>
      <c r="L189" s="45"/>
      <c r="O189" s="13"/>
    </row>
    <row r="190" spans="1:16" x14ac:dyDescent="0.25">
      <c r="B190" s="888" t="str">
        <f>IF(Intro!$G$21="English",O190,P190)</f>
        <v>ÉTAT DES RÉSULTATS DES MARCHANDISES</v>
      </c>
      <c r="C190" s="889"/>
      <c r="D190" s="889"/>
      <c r="E190" s="889"/>
      <c r="F190" s="889"/>
      <c r="G190" s="889"/>
      <c r="H190" s="889"/>
      <c r="I190" s="889"/>
      <c r="J190" s="889"/>
      <c r="K190" s="889"/>
      <c r="L190" s="890"/>
      <c r="M190" s="157"/>
      <c r="O190" s="156" t="s">
        <v>703</v>
      </c>
      <c r="P190" s="156" t="s">
        <v>704</v>
      </c>
    </row>
    <row r="191" spans="1:16" s="3" customFormat="1" x14ac:dyDescent="0.25">
      <c r="A191" s="14"/>
      <c r="B191" s="767" t="s">
        <v>33</v>
      </c>
      <c r="C191" s="768"/>
      <c r="D191" s="768"/>
      <c r="E191" s="768"/>
      <c r="F191" s="768"/>
      <c r="G191" s="768"/>
      <c r="H191" s="768"/>
      <c r="I191" s="768"/>
      <c r="J191" s="768"/>
      <c r="K191" s="768"/>
      <c r="L191" s="769"/>
      <c r="M191" s="216"/>
    </row>
    <row r="192" spans="1:16" s="157" customFormat="1" x14ac:dyDescent="0.25">
      <c r="A192" s="200"/>
      <c r="B192" s="201"/>
      <c r="C192" s="202"/>
      <c r="D192" s="202"/>
      <c r="E192" s="202"/>
      <c r="F192" s="202"/>
      <c r="G192" s="202"/>
      <c r="H192" s="202"/>
      <c r="I192" s="202"/>
      <c r="J192" s="202"/>
      <c r="K192" s="202"/>
      <c r="L192" s="203"/>
    </row>
    <row r="193" spans="1:16" s="157" customFormat="1" x14ac:dyDescent="0.25">
      <c r="A193" s="200"/>
      <c r="B193" s="672" t="str">
        <f>IF(Intro!$G$21="English",O193,P193)</f>
        <v>Fournissez l'état des résultats de votre entreprise pour ses ventes au Canada et à l'exportation des marchandises produites au Canada. Cet état doit être préparé en utilisant la méthode du coût de revient complet et déclaré selon le régime de l’année civile.</v>
      </c>
      <c r="C193" s="673"/>
      <c r="D193" s="673"/>
      <c r="E193" s="673"/>
      <c r="F193" s="673"/>
      <c r="G193" s="673"/>
      <c r="H193" s="673"/>
      <c r="I193" s="673"/>
      <c r="J193" s="673"/>
      <c r="K193" s="673"/>
      <c r="L193" s="674"/>
      <c r="O193" s="157" t="s">
        <v>261</v>
      </c>
      <c r="P193" s="23" t="s">
        <v>262</v>
      </c>
    </row>
    <row r="194" spans="1:16" s="157" customFormat="1" x14ac:dyDescent="0.25">
      <c r="A194" s="200"/>
      <c r="B194" s="672"/>
      <c r="C194" s="673"/>
      <c r="D194" s="673"/>
      <c r="E194" s="673"/>
      <c r="F194" s="673"/>
      <c r="G194" s="673"/>
      <c r="H194" s="673"/>
      <c r="I194" s="673"/>
      <c r="J194" s="673"/>
      <c r="K194" s="673"/>
      <c r="L194" s="674"/>
      <c r="P194" s="23"/>
    </row>
    <row r="195" spans="1:16" s="157" customFormat="1" x14ac:dyDescent="0.25">
      <c r="A195" s="200"/>
      <c r="B195" s="201"/>
      <c r="C195" s="202"/>
      <c r="D195" s="202"/>
      <c r="E195" s="202"/>
      <c r="F195" s="202"/>
      <c r="G195" s="202"/>
      <c r="H195" s="202"/>
      <c r="I195" s="202"/>
      <c r="J195" s="202"/>
      <c r="K195" s="202"/>
      <c r="L195" s="203"/>
    </row>
    <row r="196" spans="1:16" s="12" customFormat="1" x14ac:dyDescent="0.25">
      <c r="A196" s="14"/>
      <c r="B196" s="897" t="str">
        <f>IF(Intro!$G$21="English",O196,P196)</f>
        <v>Pour les ventes au Canada</v>
      </c>
      <c r="C196" s="831"/>
      <c r="D196" s="831"/>
      <c r="E196" s="831"/>
      <c r="F196" s="831"/>
      <c r="G196" s="831">
        <f>Variables!$B$6</f>
        <v>2022</v>
      </c>
      <c r="H196" s="831">
        <f>G196+1</f>
        <v>2023</v>
      </c>
      <c r="I196" s="831">
        <f>H196+1</f>
        <v>2024</v>
      </c>
      <c r="J196" s="831" t="str">
        <f>K121</f>
        <v>janv-sept 2024</v>
      </c>
      <c r="K196" s="831" t="str">
        <f>L121</f>
        <v>janv-sept 2025</v>
      </c>
      <c r="L196" s="211"/>
      <c r="O196" s="13" t="s">
        <v>43</v>
      </c>
      <c r="P196" s="13" t="s">
        <v>44</v>
      </c>
    </row>
    <row r="197" spans="1:16" s="12" customFormat="1" x14ac:dyDescent="0.25">
      <c r="A197" s="14"/>
      <c r="B197" s="897"/>
      <c r="C197" s="831"/>
      <c r="D197" s="831"/>
      <c r="E197" s="831"/>
      <c r="F197" s="831"/>
      <c r="G197" s="831"/>
      <c r="H197" s="831"/>
      <c r="I197" s="831"/>
      <c r="J197" s="831"/>
      <c r="K197" s="831"/>
      <c r="L197" s="211"/>
      <c r="O197" s="13"/>
      <c r="P197" s="13"/>
    </row>
    <row r="198" spans="1:16" s="12" customFormat="1" x14ac:dyDescent="0.25">
      <c r="A198" s="14"/>
      <c r="B198" s="897"/>
      <c r="C198" s="831"/>
      <c r="D198" s="831"/>
      <c r="E198" s="831"/>
      <c r="F198" s="831"/>
      <c r="G198" s="831"/>
      <c r="H198" s="831"/>
      <c r="I198" s="831"/>
      <c r="J198" s="831"/>
      <c r="K198" s="831"/>
      <c r="L198" s="211"/>
      <c r="O198" s="13"/>
      <c r="P198" s="13"/>
    </row>
    <row r="199" spans="1:16" s="157" customFormat="1" x14ac:dyDescent="0.25">
      <c r="A199" s="200"/>
      <c r="B199" s="886" t="str">
        <f>IF(Intro!$G$21="English",O199,P199)</f>
        <v>Valeur de vente nette</v>
      </c>
      <c r="C199" s="887"/>
      <c r="D199" s="887"/>
      <c r="E199" s="887"/>
      <c r="F199" s="289" t="s">
        <v>594</v>
      </c>
      <c r="G199" s="279"/>
      <c r="H199" s="279"/>
      <c r="I199" s="279"/>
      <c r="J199" s="279"/>
      <c r="K199" s="279"/>
      <c r="L199" s="211"/>
      <c r="O199" s="157" t="s">
        <v>72</v>
      </c>
      <c r="P199" s="157" t="s">
        <v>73</v>
      </c>
    </row>
    <row r="200" spans="1:16" s="157" customFormat="1" x14ac:dyDescent="0.25">
      <c r="A200" s="200"/>
      <c r="B200" s="886" t="str">
        <f>IF(Intro!$G$21="English",O200,P200)</f>
        <v>Stock d'ouverture</v>
      </c>
      <c r="C200" s="887"/>
      <c r="D200" s="887"/>
      <c r="E200" s="887"/>
      <c r="F200" s="289" t="s">
        <v>594</v>
      </c>
      <c r="G200" s="279"/>
      <c r="H200" s="279"/>
      <c r="I200" s="279"/>
      <c r="J200" s="279"/>
      <c r="K200" s="279"/>
      <c r="L200" s="211"/>
      <c r="O200" s="13" t="s">
        <v>74</v>
      </c>
      <c r="P200" s="12" t="s">
        <v>75</v>
      </c>
    </row>
    <row r="201" spans="1:16" s="157" customFormat="1" x14ac:dyDescent="0.25">
      <c r="A201" s="200"/>
      <c r="B201" s="886" t="str">
        <f>IF(Intro!$G$21="English",O201,P201)</f>
        <v>Coût des marchandises fabriquées</v>
      </c>
      <c r="C201" s="887"/>
      <c r="D201" s="887"/>
      <c r="E201" s="887"/>
      <c r="F201" s="289" t="s">
        <v>594</v>
      </c>
      <c r="G201" s="280">
        <f>H53</f>
        <v>0</v>
      </c>
      <c r="H201" s="280">
        <f>I53</f>
        <v>0</v>
      </c>
      <c r="I201" s="280">
        <f>J53</f>
        <v>0</v>
      </c>
      <c r="J201" s="280">
        <f>K53</f>
        <v>0</v>
      </c>
      <c r="K201" s="280">
        <f>L53</f>
        <v>0</v>
      </c>
      <c r="L201" s="211"/>
      <c r="O201" s="13" t="s">
        <v>66</v>
      </c>
      <c r="P201" s="12" t="s">
        <v>263</v>
      </c>
    </row>
    <row r="202" spans="1:16" s="157" customFormat="1" x14ac:dyDescent="0.25">
      <c r="A202" s="200"/>
      <c r="B202" s="886" t="str">
        <f>IF(Intro!$G$21="English",O202,P202)</f>
        <v>Stock de clôture</v>
      </c>
      <c r="C202" s="887"/>
      <c r="D202" s="887"/>
      <c r="E202" s="887"/>
      <c r="F202" s="289" t="s">
        <v>594</v>
      </c>
      <c r="G202" s="279"/>
      <c r="H202" s="279"/>
      <c r="I202" s="279"/>
      <c r="J202" s="279"/>
      <c r="K202" s="279"/>
      <c r="L202" s="211"/>
      <c r="O202" s="13" t="s">
        <v>264</v>
      </c>
      <c r="P202" s="12" t="s">
        <v>629</v>
      </c>
    </row>
    <row r="203" spans="1:16" s="181" customFormat="1" x14ac:dyDescent="0.25">
      <c r="A203" s="217"/>
      <c r="B203" s="879" t="str">
        <f>IF(Intro!$G$21="English",O203,P203)</f>
        <v>Coût des marchandises vendues</v>
      </c>
      <c r="C203" s="880"/>
      <c r="D203" s="880"/>
      <c r="E203" s="880"/>
      <c r="F203" s="289" t="s">
        <v>594</v>
      </c>
      <c r="G203" s="294">
        <f>G200+G201-G202</f>
        <v>0</v>
      </c>
      <c r="H203" s="294">
        <f>H200+H201-H202</f>
        <v>0</v>
      </c>
      <c r="I203" s="294">
        <f t="shared" ref="I203:J203" si="13">I200+I201-I202</f>
        <v>0</v>
      </c>
      <c r="J203" s="294">
        <f t="shared" si="13"/>
        <v>0</v>
      </c>
      <c r="K203" s="294">
        <f t="shared" ref="K203" si="14">K200+K201-K202</f>
        <v>0</v>
      </c>
      <c r="L203" s="211"/>
      <c r="O203" s="181" t="s">
        <v>76</v>
      </c>
      <c r="P203" s="181" t="s">
        <v>50</v>
      </c>
    </row>
    <row r="204" spans="1:16" s="181" customFormat="1" x14ac:dyDescent="0.25">
      <c r="A204" s="217"/>
      <c r="B204" s="879" t="str">
        <f>IF(Intro!$G$21="English",O204,P204)</f>
        <v>Marge bénéficiaire brute (perte brute)</v>
      </c>
      <c r="C204" s="880"/>
      <c r="D204" s="880"/>
      <c r="E204" s="880"/>
      <c r="F204" s="289" t="s">
        <v>594</v>
      </c>
      <c r="G204" s="294">
        <f>G199-G203</f>
        <v>0</v>
      </c>
      <c r="H204" s="294">
        <f t="shared" ref="H204:I204" si="15">H199-H203</f>
        <v>0</v>
      </c>
      <c r="I204" s="294">
        <f t="shared" si="15"/>
        <v>0</v>
      </c>
      <c r="J204" s="294">
        <f t="shared" ref="J204:K204" si="16">J199-J203</f>
        <v>0</v>
      </c>
      <c r="K204" s="294">
        <f t="shared" si="16"/>
        <v>0</v>
      </c>
      <c r="L204" s="211"/>
      <c r="O204" s="181" t="s">
        <v>51</v>
      </c>
      <c r="P204" s="181" t="s">
        <v>52</v>
      </c>
    </row>
    <row r="205" spans="1:16" s="157" customFormat="1" x14ac:dyDescent="0.25">
      <c r="A205" s="200"/>
      <c r="B205" s="886" t="str">
        <f>IF(Intro!$G$21="English",O205,P205)</f>
        <v xml:space="preserve">Frais généraux, de vente, et d'administration </v>
      </c>
      <c r="C205" s="887"/>
      <c r="D205" s="887"/>
      <c r="E205" s="887"/>
      <c r="F205" s="289" t="s">
        <v>594</v>
      </c>
      <c r="G205" s="279"/>
      <c r="H205" s="279"/>
      <c r="I205" s="279"/>
      <c r="J205" s="279"/>
      <c r="K205" s="279"/>
      <c r="L205" s="211"/>
      <c r="O205" s="157" t="s">
        <v>77</v>
      </c>
      <c r="P205" s="157" t="s">
        <v>78</v>
      </c>
    </row>
    <row r="206" spans="1:16" s="157" customFormat="1" x14ac:dyDescent="0.25">
      <c r="A206" s="200"/>
      <c r="B206" s="886" t="str">
        <f>IF(Intro!$G$21="English",O206,P206)</f>
        <v>Charges financières</v>
      </c>
      <c r="C206" s="887"/>
      <c r="D206" s="887"/>
      <c r="E206" s="887"/>
      <c r="F206" s="289" t="s">
        <v>594</v>
      </c>
      <c r="G206" s="279"/>
      <c r="H206" s="279"/>
      <c r="I206" s="279"/>
      <c r="J206" s="279"/>
      <c r="K206" s="279"/>
      <c r="L206" s="211"/>
      <c r="O206" s="157" t="s">
        <v>55</v>
      </c>
      <c r="P206" s="157" t="s">
        <v>56</v>
      </c>
    </row>
    <row r="207" spans="1:16" s="157" customFormat="1" x14ac:dyDescent="0.25">
      <c r="A207" s="200"/>
      <c r="B207" s="886" t="str">
        <f>IF(Intro!$G$21="English",O207,P207)</f>
        <v>Autres dépenses</v>
      </c>
      <c r="C207" s="887"/>
      <c r="D207" s="887"/>
      <c r="E207" s="887"/>
      <c r="F207" s="289" t="s">
        <v>594</v>
      </c>
      <c r="G207" s="279"/>
      <c r="H207" s="279"/>
      <c r="I207" s="279"/>
      <c r="J207" s="279"/>
      <c r="K207" s="279"/>
      <c r="L207" s="211"/>
      <c r="O207" s="157" t="s">
        <v>116</v>
      </c>
      <c r="P207" s="157" t="s">
        <v>117</v>
      </c>
    </row>
    <row r="208" spans="1:16" s="181" customFormat="1" x14ac:dyDescent="0.25">
      <c r="A208" s="217"/>
      <c r="B208" s="879" t="str">
        <f>IF(Intro!$G$21="English",O208,P208)</f>
        <v>Revenu net (perte nette) avant impôts</v>
      </c>
      <c r="C208" s="880"/>
      <c r="D208" s="880"/>
      <c r="E208" s="880"/>
      <c r="F208" s="289" t="s">
        <v>594</v>
      </c>
      <c r="G208" s="294">
        <f>G204-G205-G206-G207</f>
        <v>0</v>
      </c>
      <c r="H208" s="294">
        <f t="shared" ref="H208:I208" si="17">H204-H205-H206-H207</f>
        <v>0</v>
      </c>
      <c r="I208" s="294">
        <f t="shared" si="17"/>
        <v>0</v>
      </c>
      <c r="J208" s="294">
        <f t="shared" ref="J208:K208" si="18">J204-J205-J206-J207</f>
        <v>0</v>
      </c>
      <c r="K208" s="294">
        <f t="shared" si="18"/>
        <v>0</v>
      </c>
      <c r="L208" s="211"/>
      <c r="O208" s="181" t="s">
        <v>57</v>
      </c>
      <c r="P208" s="181" t="s">
        <v>58</v>
      </c>
    </row>
    <row r="209" spans="1:19" s="12" customFormat="1" x14ac:dyDescent="0.25">
      <c r="A209" s="14"/>
      <c r="B209" s="186"/>
      <c r="C209" s="187"/>
      <c r="F209" s="32"/>
      <c r="G209" s="33"/>
      <c r="H209" s="33"/>
      <c r="I209" s="33"/>
      <c r="J209" s="33"/>
      <c r="K209" s="33"/>
      <c r="L209" s="34"/>
      <c r="O209" s="13"/>
    </row>
    <row r="210" spans="1:19" s="12" customFormat="1" x14ac:dyDescent="0.25">
      <c r="A210" s="14"/>
      <c r="B210" s="897" t="str">
        <f>IF(Intro!$G$21="English",O210,P210)</f>
        <v>Pour les ventes à l'exportation</v>
      </c>
      <c r="C210" s="831"/>
      <c r="D210" s="831"/>
      <c r="E210" s="831"/>
      <c r="F210" s="831"/>
      <c r="G210" s="831">
        <f>G196</f>
        <v>2022</v>
      </c>
      <c r="H210" s="831">
        <f t="shared" ref="H210:K210" si="19">H196</f>
        <v>2023</v>
      </c>
      <c r="I210" s="831">
        <f t="shared" si="19"/>
        <v>2024</v>
      </c>
      <c r="J210" s="831" t="str">
        <f t="shared" si="19"/>
        <v>janv-sept 2024</v>
      </c>
      <c r="K210" s="831" t="str">
        <f t="shared" si="19"/>
        <v>janv-sept 2025</v>
      </c>
      <c r="L210" s="211"/>
      <c r="O210" s="13" t="s">
        <v>221</v>
      </c>
      <c r="P210" s="13" t="s">
        <v>222</v>
      </c>
    </row>
    <row r="211" spans="1:19" s="12" customFormat="1" x14ac:dyDescent="0.25">
      <c r="A211" s="14"/>
      <c r="B211" s="897"/>
      <c r="C211" s="831"/>
      <c r="D211" s="831"/>
      <c r="E211" s="831"/>
      <c r="F211" s="831"/>
      <c r="G211" s="831"/>
      <c r="H211" s="831"/>
      <c r="I211" s="831"/>
      <c r="J211" s="831"/>
      <c r="K211" s="831"/>
      <c r="L211" s="211"/>
      <c r="O211" s="13"/>
      <c r="P211" s="13"/>
    </row>
    <row r="212" spans="1:19" s="12" customFormat="1" x14ac:dyDescent="0.25">
      <c r="A212" s="14"/>
      <c r="B212" s="897"/>
      <c r="C212" s="831"/>
      <c r="D212" s="831"/>
      <c r="E212" s="831"/>
      <c r="F212" s="831"/>
      <c r="G212" s="831"/>
      <c r="H212" s="831"/>
      <c r="I212" s="831"/>
      <c r="J212" s="831"/>
      <c r="K212" s="831"/>
      <c r="L212" s="211"/>
      <c r="O212" s="13"/>
      <c r="P212" s="13"/>
    </row>
    <row r="213" spans="1:19" s="157" customFormat="1" x14ac:dyDescent="0.25">
      <c r="A213" s="200"/>
      <c r="B213" s="886" t="str">
        <f t="shared" ref="B213:B222" si="20">B199</f>
        <v>Valeur de vente nette</v>
      </c>
      <c r="C213" s="887"/>
      <c r="D213" s="887"/>
      <c r="E213" s="887"/>
      <c r="F213" s="289" t="s">
        <v>594</v>
      </c>
      <c r="G213" s="279"/>
      <c r="H213" s="279"/>
      <c r="I213" s="279"/>
      <c r="J213" s="279"/>
      <c r="K213" s="279"/>
      <c r="L213" s="211"/>
    </row>
    <row r="214" spans="1:19" s="157" customFormat="1" x14ac:dyDescent="0.25">
      <c r="A214" s="200"/>
      <c r="B214" s="886" t="str">
        <f t="shared" si="20"/>
        <v>Stock d'ouverture</v>
      </c>
      <c r="C214" s="887"/>
      <c r="D214" s="887"/>
      <c r="E214" s="887"/>
      <c r="F214" s="289" t="s">
        <v>594</v>
      </c>
      <c r="G214" s="279"/>
      <c r="H214" s="279"/>
      <c r="I214" s="279"/>
      <c r="J214" s="279"/>
      <c r="K214" s="279"/>
      <c r="L214" s="211"/>
      <c r="O214" s="13"/>
      <c r="P214" s="12"/>
    </row>
    <row r="215" spans="1:19" s="157" customFormat="1" x14ac:dyDescent="0.25">
      <c r="A215" s="200"/>
      <c r="B215" s="886" t="str">
        <f t="shared" si="20"/>
        <v>Coût des marchandises fabriquées</v>
      </c>
      <c r="C215" s="887"/>
      <c r="D215" s="887"/>
      <c r="E215" s="887"/>
      <c r="F215" s="289" t="s">
        <v>594</v>
      </c>
      <c r="G215" s="280">
        <f>H65</f>
        <v>0</v>
      </c>
      <c r="H215" s="280">
        <f>I65</f>
        <v>0</v>
      </c>
      <c r="I215" s="280">
        <f>J65</f>
        <v>0</v>
      </c>
      <c r="J215" s="280">
        <f>K65</f>
        <v>0</v>
      </c>
      <c r="K215" s="280">
        <f>L65</f>
        <v>0</v>
      </c>
      <c r="L215" s="211"/>
      <c r="O215" s="13"/>
      <c r="P215" s="12"/>
    </row>
    <row r="216" spans="1:19" s="157" customFormat="1" x14ac:dyDescent="0.25">
      <c r="A216" s="200"/>
      <c r="B216" s="886" t="str">
        <f t="shared" si="20"/>
        <v>Stock de clôture</v>
      </c>
      <c r="C216" s="887"/>
      <c r="D216" s="887"/>
      <c r="E216" s="887"/>
      <c r="F216" s="289" t="s">
        <v>594</v>
      </c>
      <c r="G216" s="279"/>
      <c r="H216" s="279"/>
      <c r="I216" s="279"/>
      <c r="J216" s="279"/>
      <c r="K216" s="279"/>
      <c r="L216" s="211"/>
      <c r="O216" s="13"/>
      <c r="P216" s="12"/>
    </row>
    <row r="217" spans="1:19" s="181" customFormat="1" x14ac:dyDescent="0.25">
      <c r="A217" s="217"/>
      <c r="B217" s="879" t="str">
        <f t="shared" si="20"/>
        <v>Coût des marchandises vendues</v>
      </c>
      <c r="C217" s="880"/>
      <c r="D217" s="880"/>
      <c r="E217" s="880"/>
      <c r="F217" s="289" t="s">
        <v>594</v>
      </c>
      <c r="G217" s="294">
        <f>G214+G215-G216</f>
        <v>0</v>
      </c>
      <c r="H217" s="294">
        <f>H214+H215-H216</f>
        <v>0</v>
      </c>
      <c r="I217" s="294">
        <f>I214+I215-I216</f>
        <v>0</v>
      </c>
      <c r="J217" s="294">
        <f>J214+J215-J216</f>
        <v>0</v>
      </c>
      <c r="K217" s="294">
        <f>K214+K215-K216</f>
        <v>0</v>
      </c>
      <c r="L217" s="211"/>
    </row>
    <row r="218" spans="1:19" s="181" customFormat="1" x14ac:dyDescent="0.25">
      <c r="A218" s="217"/>
      <c r="B218" s="879" t="str">
        <f t="shared" si="20"/>
        <v>Marge bénéficiaire brute (perte brute)</v>
      </c>
      <c r="C218" s="880"/>
      <c r="D218" s="880"/>
      <c r="E218" s="880"/>
      <c r="F218" s="289" t="s">
        <v>594</v>
      </c>
      <c r="G218" s="294">
        <f>G213-G217</f>
        <v>0</v>
      </c>
      <c r="H218" s="294">
        <f t="shared" ref="H218" si="21">H213-H217</f>
        <v>0</v>
      </c>
      <c r="I218" s="294">
        <f t="shared" ref="I218:J218" si="22">I213-I217</f>
        <v>0</v>
      </c>
      <c r="J218" s="294">
        <f t="shared" si="22"/>
        <v>0</v>
      </c>
      <c r="K218" s="294">
        <f t="shared" ref="K218" si="23">K213-K217</f>
        <v>0</v>
      </c>
      <c r="L218" s="211"/>
    </row>
    <row r="219" spans="1:19" s="157" customFormat="1" x14ac:dyDescent="0.25">
      <c r="A219" s="200"/>
      <c r="B219" s="886" t="str">
        <f t="shared" si="20"/>
        <v xml:space="preserve">Frais généraux, de vente, et d'administration </v>
      </c>
      <c r="C219" s="887"/>
      <c r="D219" s="887"/>
      <c r="E219" s="887"/>
      <c r="F219" s="289" t="s">
        <v>594</v>
      </c>
      <c r="G219" s="279"/>
      <c r="H219" s="279"/>
      <c r="I219" s="279"/>
      <c r="J219" s="279"/>
      <c r="K219" s="279"/>
      <c r="L219" s="211"/>
    </row>
    <row r="220" spans="1:19" s="157" customFormat="1" x14ac:dyDescent="0.25">
      <c r="A220" s="200"/>
      <c r="B220" s="886" t="str">
        <f t="shared" si="20"/>
        <v>Charges financières</v>
      </c>
      <c r="C220" s="887"/>
      <c r="D220" s="887"/>
      <c r="E220" s="887"/>
      <c r="F220" s="289" t="s">
        <v>594</v>
      </c>
      <c r="G220" s="279"/>
      <c r="H220" s="279"/>
      <c r="I220" s="279"/>
      <c r="J220" s="279"/>
      <c r="K220" s="279"/>
      <c r="L220" s="211"/>
    </row>
    <row r="221" spans="1:19" s="157" customFormat="1" x14ac:dyDescent="0.25">
      <c r="A221" s="200"/>
      <c r="B221" s="886" t="str">
        <f t="shared" si="20"/>
        <v>Autres dépenses</v>
      </c>
      <c r="C221" s="887"/>
      <c r="D221" s="887"/>
      <c r="E221" s="887"/>
      <c r="F221" s="289" t="s">
        <v>594</v>
      </c>
      <c r="G221" s="279"/>
      <c r="H221" s="279"/>
      <c r="I221" s="279"/>
      <c r="J221" s="279"/>
      <c r="K221" s="279"/>
      <c r="L221" s="211"/>
    </row>
    <row r="222" spans="1:19" s="181" customFormat="1" x14ac:dyDescent="0.25">
      <c r="A222" s="217"/>
      <c r="B222" s="879" t="str">
        <f t="shared" si="20"/>
        <v>Revenu net (perte nette) avant impôts</v>
      </c>
      <c r="C222" s="880"/>
      <c r="D222" s="880"/>
      <c r="E222" s="880"/>
      <c r="F222" s="289" t="s">
        <v>594</v>
      </c>
      <c r="G222" s="294">
        <f>G218-G219-G220-G221</f>
        <v>0</v>
      </c>
      <c r="H222" s="294">
        <f t="shared" ref="H222" si="24">H218-H219-H220-H221</f>
        <v>0</v>
      </c>
      <c r="I222" s="294">
        <f t="shared" ref="I222:J222" si="25">I218-I219-I220-I221</f>
        <v>0</v>
      </c>
      <c r="J222" s="294">
        <f t="shared" si="25"/>
        <v>0</v>
      </c>
      <c r="K222" s="294">
        <f t="shared" ref="K222" si="26">K218-K219-K220-K221</f>
        <v>0</v>
      </c>
      <c r="L222" s="211"/>
    </row>
    <row r="223" spans="1:19" s="157" customFormat="1" x14ac:dyDescent="0.25">
      <c r="A223" s="200"/>
      <c r="B223" s="201"/>
      <c r="C223" s="202"/>
      <c r="D223" s="202"/>
      <c r="E223" s="202"/>
      <c r="F223" s="202"/>
      <c r="G223" s="202"/>
      <c r="H223" s="202"/>
      <c r="I223" s="202"/>
      <c r="J223" s="202"/>
      <c r="K223" s="202"/>
      <c r="L223" s="203"/>
    </row>
    <row r="224" spans="1:19" s="157" customFormat="1" x14ac:dyDescent="0.25">
      <c r="A224" s="200"/>
      <c r="B224" s="672" t="str">
        <f>IF(Intro!$G$21="English",O224,P224)</f>
        <v>Dans le tableau ci-dessous, « Erreur » signifie que la valeur des ventes nettes combinées déclarée à cette question dépasse la valeur des ventes nettes totales de votre entreprise déclarée à la question 1 de cet onglet. Par conséquent, veuillez modifier les données applicables.</v>
      </c>
      <c r="C224" s="673"/>
      <c r="D224" s="673"/>
      <c r="E224" s="673"/>
      <c r="F224" s="673"/>
      <c r="G224" s="673"/>
      <c r="H224" s="673"/>
      <c r="I224" s="673"/>
      <c r="J224" s="673"/>
      <c r="K224" s="673"/>
      <c r="L224" s="674"/>
      <c r="O224" s="182" t="s">
        <v>945</v>
      </c>
      <c r="P224" s="182" t="s">
        <v>730</v>
      </c>
      <c r="Q224" s="182"/>
      <c r="R224" s="182"/>
      <c r="S224" s="182"/>
    </row>
    <row r="225" spans="1:19" s="157" customFormat="1" x14ac:dyDescent="0.25">
      <c r="A225" s="200"/>
      <c r="B225" s="672"/>
      <c r="C225" s="673"/>
      <c r="D225" s="673"/>
      <c r="E225" s="673"/>
      <c r="F225" s="673"/>
      <c r="G225" s="673"/>
      <c r="H225" s="673"/>
      <c r="I225" s="673"/>
      <c r="J225" s="673"/>
      <c r="K225" s="673"/>
      <c r="L225" s="674"/>
      <c r="O225" s="182"/>
      <c r="P225" s="182"/>
      <c r="Q225" s="182"/>
      <c r="R225" s="182"/>
      <c r="S225" s="182"/>
    </row>
    <row r="226" spans="1:19" s="157" customFormat="1" x14ac:dyDescent="0.25">
      <c r="A226" s="200"/>
      <c r="B226" s="186"/>
      <c r="C226" s="187"/>
      <c r="D226" s="187"/>
      <c r="E226" s="39"/>
      <c r="F226" s="39"/>
      <c r="G226" s="39"/>
      <c r="H226" s="39"/>
      <c r="I226" s="39"/>
      <c r="J226" s="39"/>
      <c r="K226" s="39"/>
      <c r="L226" s="40"/>
      <c r="Q226" s="182"/>
      <c r="R226" s="182"/>
      <c r="S226" s="182"/>
    </row>
    <row r="227" spans="1:19" s="12" customFormat="1" x14ac:dyDescent="0.25">
      <c r="A227" s="14"/>
      <c r="B227" s="186"/>
      <c r="C227" s="187"/>
      <c r="F227" s="32"/>
      <c r="G227" s="831">
        <f>G196</f>
        <v>2022</v>
      </c>
      <c r="H227" s="831">
        <f t="shared" ref="H227:K227" si="27">H196</f>
        <v>2023</v>
      </c>
      <c r="I227" s="831">
        <f t="shared" si="27"/>
        <v>2024</v>
      </c>
      <c r="J227" s="831" t="str">
        <f t="shared" si="27"/>
        <v>janv-sept 2024</v>
      </c>
      <c r="K227" s="831" t="str">
        <f t="shared" si="27"/>
        <v>janv-sept 2025</v>
      </c>
      <c r="L227" s="211"/>
      <c r="O227" s="13"/>
    </row>
    <row r="228" spans="1:19" s="12" customFormat="1" x14ac:dyDescent="0.25">
      <c r="A228" s="14"/>
      <c r="B228" s="261"/>
      <c r="C228" s="262"/>
      <c r="F228" s="32"/>
      <c r="G228" s="831"/>
      <c r="H228" s="831"/>
      <c r="I228" s="831"/>
      <c r="J228" s="831"/>
      <c r="K228" s="831"/>
      <c r="L228" s="211"/>
      <c r="O228" s="13"/>
    </row>
    <row r="229" spans="1:19" s="157" customFormat="1" x14ac:dyDescent="0.25">
      <c r="A229" s="200"/>
      <c r="B229" s="654" t="str">
        <f>Variables!D42</f>
        <v>Vérification</v>
      </c>
      <c r="C229" s="655"/>
      <c r="D229" s="655"/>
      <c r="E229" s="655"/>
      <c r="F229" s="303" t="s">
        <v>594</v>
      </c>
      <c r="G229" s="293" t="str">
        <f>IF(SUM(G213,G199)&gt;G24,Variables!$D$43,Variables!$D$44)</f>
        <v>Correct</v>
      </c>
      <c r="H229" s="293" t="str">
        <f>IF(SUM(H213,H199)&gt;H24,Variables!$D$43,Variables!$D$44)</f>
        <v>Correct</v>
      </c>
      <c r="I229" s="293" t="str">
        <f>IF(SUM(I213,I199)&gt;I24,Variables!$D$43,Variables!$D$44)</f>
        <v>Correct</v>
      </c>
      <c r="J229" s="293" t="str">
        <f>IF(SUM(J213,J199)&gt;J24,Variables!$D$43,Variables!$D$44)</f>
        <v>Correct</v>
      </c>
      <c r="K229" s="293" t="str">
        <f>IF(SUM(K213,K199)&gt;K24,Variables!$D$43,Variables!$D$44)</f>
        <v>Correct</v>
      </c>
      <c r="L229" s="211"/>
    </row>
    <row r="230" spans="1:19" s="157" customFormat="1" x14ac:dyDescent="0.25">
      <c r="A230" s="200"/>
      <c r="B230" s="201"/>
      <c r="C230" s="202"/>
      <c r="D230" s="202"/>
      <c r="E230" s="202"/>
      <c r="F230" s="202"/>
      <c r="G230" s="202"/>
      <c r="H230" s="202"/>
      <c r="I230" s="202"/>
      <c r="J230" s="202"/>
      <c r="K230" s="202"/>
      <c r="L230" s="203"/>
    </row>
    <row r="231" spans="1:19" s="157" customFormat="1" ht="14.1" customHeight="1" x14ac:dyDescent="0.25">
      <c r="A231" s="200"/>
      <c r="B231" s="672" t="str">
        <f>IF(Intro!$G$21="English",O231,P231)</f>
        <v>Dans le tableau ci-dessous, « Erreur » signifie que la valeur des ventes nettes déclarée dans cette question est différente de la valeur totale des ventes nettes rendues déclarées à la question 1 de l'onglet Pro 2. Expliquez la raison de la différence dans l’espace prévu.</v>
      </c>
      <c r="C231" s="673"/>
      <c r="D231" s="673"/>
      <c r="E231" s="673"/>
      <c r="F231" s="673"/>
      <c r="G231" s="673"/>
      <c r="H231" s="673"/>
      <c r="I231" s="673"/>
      <c r="J231" s="673"/>
      <c r="K231" s="673"/>
      <c r="L231" s="674"/>
      <c r="O231" s="182" t="s">
        <v>943</v>
      </c>
      <c r="P231" s="182" t="s">
        <v>944</v>
      </c>
      <c r="Q231" s="182"/>
      <c r="R231" s="182"/>
      <c r="S231" s="182"/>
    </row>
    <row r="232" spans="1:19" s="157" customFormat="1" x14ac:dyDescent="0.25">
      <c r="A232" s="200"/>
      <c r="B232" s="672"/>
      <c r="C232" s="673"/>
      <c r="D232" s="673"/>
      <c r="E232" s="673"/>
      <c r="F232" s="673"/>
      <c r="G232" s="673"/>
      <c r="H232" s="673"/>
      <c r="I232" s="673"/>
      <c r="J232" s="673"/>
      <c r="K232" s="673"/>
      <c r="L232" s="674"/>
      <c r="O232" s="182"/>
      <c r="P232" s="182"/>
      <c r="Q232" s="182"/>
      <c r="R232" s="182"/>
      <c r="S232" s="182"/>
    </row>
    <row r="233" spans="1:19" s="157" customFormat="1" x14ac:dyDescent="0.25">
      <c r="A233" s="200"/>
      <c r="B233" s="186"/>
      <c r="C233" s="187"/>
      <c r="D233" s="187"/>
      <c r="E233" s="39"/>
      <c r="F233" s="39"/>
      <c r="G233" s="39"/>
      <c r="H233" s="39"/>
      <c r="I233" s="39"/>
      <c r="J233" s="39"/>
      <c r="K233" s="39"/>
      <c r="L233" s="40"/>
      <c r="R233" s="182"/>
      <c r="S233" s="182"/>
    </row>
    <row r="234" spans="1:19" s="12" customFormat="1" x14ac:dyDescent="0.25">
      <c r="A234" s="14"/>
      <c r="B234" s="186"/>
      <c r="C234" s="187"/>
      <c r="F234" s="32"/>
      <c r="G234" s="831">
        <f>G196</f>
        <v>2022</v>
      </c>
      <c r="H234" s="831">
        <f>H196</f>
        <v>2023</v>
      </c>
      <c r="I234" s="831">
        <f>I196</f>
        <v>2024</v>
      </c>
      <c r="J234" s="831" t="str">
        <f>J196</f>
        <v>janv-sept 2024</v>
      </c>
      <c r="K234" s="831" t="str">
        <f>K196</f>
        <v>janv-sept 2025</v>
      </c>
      <c r="L234" s="211"/>
      <c r="O234" s="157"/>
      <c r="P234" s="157"/>
      <c r="Q234" s="157"/>
    </row>
    <row r="235" spans="1:19" s="12" customFormat="1" x14ac:dyDescent="0.25">
      <c r="A235" s="14"/>
      <c r="B235" s="186"/>
      <c r="C235" s="187"/>
      <c r="F235" s="32"/>
      <c r="G235" s="831"/>
      <c r="H235" s="831"/>
      <c r="I235" s="831"/>
      <c r="J235" s="831"/>
      <c r="K235" s="831"/>
      <c r="L235" s="211"/>
      <c r="O235" s="157"/>
      <c r="P235" s="157"/>
      <c r="Q235" s="157"/>
    </row>
    <row r="236" spans="1:19" s="157" customFormat="1" x14ac:dyDescent="0.25">
      <c r="A236" s="200"/>
      <c r="B236" s="654" t="str">
        <f>IF(Intro!$G$21="English",O236,P236)</f>
        <v>Vérification - Pour les ventes au Canada</v>
      </c>
      <c r="C236" s="655"/>
      <c r="D236" s="655"/>
      <c r="E236" s="655"/>
      <c r="F236" s="303" t="s">
        <v>594</v>
      </c>
      <c r="G236" s="293" t="str">
        <f>IF(G199&lt;&gt;'Pro 2'!H39,Variables!$D$43,Variables!$D$44)</f>
        <v>Correct</v>
      </c>
      <c r="H236" s="293" t="str">
        <f>IF(H199&lt;&gt;'Pro 2'!I39,Variables!$D$43,Variables!$D$44)</f>
        <v>Correct</v>
      </c>
      <c r="I236" s="293" t="str">
        <f>IF(I199&lt;&gt;'Pro 2'!J39,Variables!$D$43,Variables!$D$44)</f>
        <v>Correct</v>
      </c>
      <c r="J236" s="293" t="str">
        <f>IF(J199&lt;&gt;'Pro 2'!K39,Variables!$D$43,Variables!$D$44)</f>
        <v>Correct</v>
      </c>
      <c r="K236" s="293" t="str">
        <f>IF(K199&lt;&gt;'Pro 2'!L39,Variables!$D$43,Variables!$D$44)</f>
        <v>Correct</v>
      </c>
      <c r="L236" s="211"/>
      <c r="O236" s="157" t="s">
        <v>265</v>
      </c>
      <c r="P236" s="157" t="s">
        <v>266</v>
      </c>
    </row>
    <row r="237" spans="1:19" s="157" customFormat="1" x14ac:dyDescent="0.25">
      <c r="A237" s="200"/>
      <c r="B237" s="654" t="str">
        <f>IF(Intro!$G$21="English",O237,P237)</f>
        <v>Vérification - Pour les ventes à l'exportation</v>
      </c>
      <c r="C237" s="655"/>
      <c r="D237" s="655"/>
      <c r="E237" s="655"/>
      <c r="F237" s="303" t="s">
        <v>594</v>
      </c>
      <c r="G237" s="293" t="str">
        <f>IF(G213&lt;&gt;'Pro 2'!H42,Variables!$D$43,Variables!$D$44)</f>
        <v>Correct</v>
      </c>
      <c r="H237" s="293" t="str">
        <f>IF(H213&lt;&gt;'Pro 2'!I42,Variables!$D$43,Variables!$D$44)</f>
        <v>Correct</v>
      </c>
      <c r="I237" s="293" t="str">
        <f>IF(I213&lt;&gt;'Pro 2'!J42,Variables!$D$43,Variables!$D$44)</f>
        <v>Correct</v>
      </c>
      <c r="J237" s="293" t="str">
        <f>IF(J213&lt;&gt;'Pro 2'!K42,Variables!$D$43,Variables!$D$44)</f>
        <v>Correct</v>
      </c>
      <c r="K237" s="293" t="str">
        <f>IF(K213&lt;&gt;'Pro 2'!L42,Variables!$D$43,Variables!$D$44)</f>
        <v>Correct</v>
      </c>
      <c r="L237" s="211"/>
      <c r="O237" s="157" t="s">
        <v>267</v>
      </c>
      <c r="P237" s="157" t="s">
        <v>268</v>
      </c>
    </row>
    <row r="238" spans="1:19" s="157" customFormat="1" x14ac:dyDescent="0.25">
      <c r="A238" s="200"/>
      <c r="B238" s="186"/>
      <c r="C238" s="187"/>
      <c r="D238" s="187"/>
      <c r="E238" s="39"/>
      <c r="F238" s="39"/>
      <c r="G238" s="39"/>
      <c r="H238" s="39"/>
      <c r="I238" s="39"/>
      <c r="J238" s="39"/>
      <c r="K238" s="39"/>
      <c r="L238" s="40"/>
      <c r="O238" s="182"/>
      <c r="P238" s="182"/>
    </row>
    <row r="239" spans="1:19" s="3" customFormat="1" x14ac:dyDescent="0.25">
      <c r="A239" s="15"/>
      <c r="B239" s="773"/>
      <c r="C239" s="774"/>
      <c r="D239" s="774"/>
      <c r="E239" s="774"/>
      <c r="F239" s="774"/>
      <c r="G239" s="774"/>
      <c r="H239" s="774"/>
      <c r="I239" s="774"/>
      <c r="J239" s="774"/>
      <c r="K239" s="774"/>
      <c r="L239" s="775"/>
      <c r="M239" s="182"/>
      <c r="O239" s="176"/>
      <c r="P239" s="176"/>
    </row>
    <row r="240" spans="1:19" s="3" customFormat="1" x14ac:dyDescent="0.25">
      <c r="A240" s="15"/>
      <c r="B240" s="773"/>
      <c r="C240" s="774"/>
      <c r="D240" s="774"/>
      <c r="E240" s="774"/>
      <c r="F240" s="774"/>
      <c r="G240" s="774"/>
      <c r="H240" s="774"/>
      <c r="I240" s="774"/>
      <c r="J240" s="774"/>
      <c r="K240" s="774"/>
      <c r="L240" s="775"/>
      <c r="M240" s="182"/>
      <c r="O240" s="176"/>
      <c r="P240" s="176"/>
    </row>
    <row r="241" spans="1:19" s="3" customFormat="1" x14ac:dyDescent="0.25">
      <c r="A241" s="15"/>
      <c r="B241" s="773"/>
      <c r="C241" s="774"/>
      <c r="D241" s="774"/>
      <c r="E241" s="774"/>
      <c r="F241" s="774"/>
      <c r="G241" s="774"/>
      <c r="H241" s="774"/>
      <c r="I241" s="774"/>
      <c r="J241" s="774"/>
      <c r="K241" s="774"/>
      <c r="L241" s="775"/>
      <c r="M241" s="182"/>
      <c r="O241" s="176"/>
      <c r="P241" s="176"/>
    </row>
    <row r="242" spans="1:19" s="3" customFormat="1" x14ac:dyDescent="0.25">
      <c r="A242" s="15"/>
      <c r="B242" s="773"/>
      <c r="C242" s="774"/>
      <c r="D242" s="774"/>
      <c r="E242" s="774"/>
      <c r="F242" s="774"/>
      <c r="G242" s="774"/>
      <c r="H242" s="774"/>
      <c r="I242" s="774"/>
      <c r="J242" s="774"/>
      <c r="K242" s="774"/>
      <c r="L242" s="775"/>
      <c r="M242" s="182"/>
      <c r="O242" s="176"/>
      <c r="P242" s="176"/>
    </row>
    <row r="243" spans="1:19" s="3" customFormat="1" x14ac:dyDescent="0.25">
      <c r="A243" s="15"/>
      <c r="B243" s="773"/>
      <c r="C243" s="774"/>
      <c r="D243" s="774"/>
      <c r="E243" s="774"/>
      <c r="F243" s="774"/>
      <c r="G243" s="774"/>
      <c r="H243" s="774"/>
      <c r="I243" s="774"/>
      <c r="J243" s="774"/>
      <c r="K243" s="774"/>
      <c r="L243" s="775"/>
      <c r="M243" s="182"/>
      <c r="O243" s="176"/>
      <c r="P243" s="176"/>
    </row>
    <row r="244" spans="1:19" s="3" customFormat="1" x14ac:dyDescent="0.25">
      <c r="A244" s="15"/>
      <c r="B244" s="773"/>
      <c r="C244" s="774"/>
      <c r="D244" s="774"/>
      <c r="E244" s="774"/>
      <c r="F244" s="774"/>
      <c r="G244" s="774"/>
      <c r="H244" s="774"/>
      <c r="I244" s="774"/>
      <c r="J244" s="774"/>
      <c r="K244" s="774"/>
      <c r="L244" s="775"/>
      <c r="M244" s="182"/>
      <c r="O244" s="176"/>
      <c r="P244" s="176"/>
    </row>
    <row r="245" spans="1:19" s="3" customFormat="1" x14ac:dyDescent="0.25">
      <c r="A245" s="15"/>
      <c r="B245" s="773"/>
      <c r="C245" s="774"/>
      <c r="D245" s="774"/>
      <c r="E245" s="774"/>
      <c r="F245" s="774"/>
      <c r="G245" s="774"/>
      <c r="H245" s="774"/>
      <c r="I245" s="774"/>
      <c r="J245" s="774"/>
      <c r="K245" s="774"/>
      <c r="L245" s="775"/>
      <c r="M245" s="182"/>
      <c r="O245" s="176"/>
      <c r="P245" s="176"/>
    </row>
    <row r="246" spans="1:19" s="157" customFormat="1" x14ac:dyDescent="0.25">
      <c r="A246" s="200"/>
      <c r="B246" s="201"/>
      <c r="C246" s="202"/>
      <c r="D246" s="202"/>
      <c r="E246" s="202"/>
      <c r="F246" s="202"/>
      <c r="G246" s="202"/>
      <c r="H246" s="202"/>
      <c r="I246" s="202"/>
      <c r="J246" s="202"/>
      <c r="K246" s="202"/>
      <c r="L246" s="203"/>
    </row>
    <row r="247" spans="1:19" s="157" customFormat="1" x14ac:dyDescent="0.25">
      <c r="A247" s="200"/>
      <c r="B247" s="672" t="str">
        <f>IF(Intro!$G$21="English",O247,P247)</f>
        <v>Dans le tableau ci-dessous, « Erreur » signifie que la valeur de stock de clôture combiné déclaré dans cette question ne correspond pas à la valeur de stock de clôture total déclaré à la question 1 de l'onglet Pro 2. Par conséquent, veuillez modifier les données applicables.</v>
      </c>
      <c r="C247" s="673"/>
      <c r="D247" s="673"/>
      <c r="E247" s="673"/>
      <c r="F247" s="673"/>
      <c r="G247" s="673"/>
      <c r="H247" s="673"/>
      <c r="I247" s="673"/>
      <c r="J247" s="673"/>
      <c r="K247" s="673"/>
      <c r="L247" s="674"/>
      <c r="O247" s="167" t="s">
        <v>731</v>
      </c>
      <c r="P247" s="167" t="s">
        <v>732</v>
      </c>
      <c r="Q247" s="182"/>
      <c r="R247" s="182"/>
      <c r="S247" s="182"/>
    </row>
    <row r="248" spans="1:19" s="157" customFormat="1" x14ac:dyDescent="0.25">
      <c r="A248" s="200"/>
      <c r="B248" s="672"/>
      <c r="C248" s="673"/>
      <c r="D248" s="673"/>
      <c r="E248" s="673"/>
      <c r="F248" s="673"/>
      <c r="G248" s="673"/>
      <c r="H248" s="673"/>
      <c r="I248" s="673"/>
      <c r="J248" s="673"/>
      <c r="K248" s="673"/>
      <c r="L248" s="674"/>
      <c r="O248" s="182"/>
      <c r="P248" s="182"/>
      <c r="Q248" s="182"/>
      <c r="R248" s="182"/>
      <c r="S248" s="182"/>
    </row>
    <row r="249" spans="1:19" s="157" customFormat="1" x14ac:dyDescent="0.25">
      <c r="A249" s="200"/>
      <c r="B249" s="186"/>
      <c r="C249" s="187"/>
      <c r="D249" s="187"/>
      <c r="E249" s="39"/>
      <c r="F249" s="39"/>
      <c r="G249" s="39"/>
      <c r="H249" s="39"/>
      <c r="I249" s="39"/>
      <c r="J249" s="39"/>
      <c r="K249" s="39"/>
      <c r="L249" s="40"/>
      <c r="O249" s="182"/>
      <c r="P249" s="182"/>
      <c r="Q249" s="182"/>
      <c r="R249" s="182"/>
      <c r="S249" s="182"/>
    </row>
    <row r="250" spans="1:19" s="12" customFormat="1" x14ac:dyDescent="0.25">
      <c r="A250" s="14"/>
      <c r="B250" s="186"/>
      <c r="C250" s="187"/>
      <c r="F250" s="32"/>
      <c r="G250" s="831">
        <f>G196</f>
        <v>2022</v>
      </c>
      <c r="H250" s="831">
        <f>H196</f>
        <v>2023</v>
      </c>
      <c r="I250" s="831">
        <f>I196</f>
        <v>2024</v>
      </c>
      <c r="J250" s="831" t="str">
        <f>J196</f>
        <v>janv-sept 2024</v>
      </c>
      <c r="K250" s="831" t="str">
        <f>K196</f>
        <v>janv-sept 2025</v>
      </c>
      <c r="L250" s="211"/>
      <c r="O250" s="13"/>
    </row>
    <row r="251" spans="1:19" s="12" customFormat="1" x14ac:dyDescent="0.25">
      <c r="A251" s="14"/>
      <c r="B251" s="186"/>
      <c r="C251" s="187"/>
      <c r="F251" s="32"/>
      <c r="G251" s="831"/>
      <c r="H251" s="831"/>
      <c r="I251" s="831"/>
      <c r="J251" s="831"/>
      <c r="K251" s="831"/>
      <c r="L251" s="211"/>
      <c r="O251" s="13"/>
    </row>
    <row r="252" spans="1:19" s="184" customFormat="1" x14ac:dyDescent="0.25">
      <c r="A252" s="225"/>
      <c r="B252" s="654" t="str">
        <f>B229</f>
        <v>Vérification</v>
      </c>
      <c r="C252" s="655"/>
      <c r="D252" s="655"/>
      <c r="E252" s="655"/>
      <c r="F252" s="303" t="s">
        <v>594</v>
      </c>
      <c r="G252" s="293" t="str">
        <f>IF(SUM(G202,G216)&lt;&gt;'Pro 2'!H45,Variables!$D$43,Variables!$D$44)</f>
        <v>Correct</v>
      </c>
      <c r="H252" s="293" t="str">
        <f>IF(SUM(H202,H216)&lt;&gt;'Pro 2'!I45,Variables!$D$43,Variables!$D$44)</f>
        <v>Correct</v>
      </c>
      <c r="I252" s="293" t="str">
        <f>IF(SUM(I202,I216)&lt;&gt;'Pro 2'!J45,Variables!$D$43,Variables!$D$44)</f>
        <v>Correct</v>
      </c>
      <c r="J252" s="293" t="str">
        <f>IF(SUM(J202,J216)&lt;&gt;'Pro 2'!K45,Variables!$D$43,Variables!$D$44)</f>
        <v>Correct</v>
      </c>
      <c r="K252" s="293" t="str">
        <f>IF(SUM(K202,K216)&lt;&gt;'Pro 2'!L45,Variables!$D$43,Variables!$D$44)</f>
        <v>Correct</v>
      </c>
      <c r="L252" s="226"/>
    </row>
    <row r="253" spans="1:19" s="157" customFormat="1" x14ac:dyDescent="0.25">
      <c r="A253" s="200"/>
      <c r="B253" s="201"/>
      <c r="C253" s="202"/>
      <c r="D253" s="202"/>
      <c r="E253" s="202"/>
      <c r="F253" s="202"/>
      <c r="G253" s="202"/>
      <c r="H253" s="202"/>
      <c r="I253" s="202"/>
      <c r="J253" s="202"/>
      <c r="K253" s="202"/>
      <c r="L253" s="203"/>
    </row>
    <row r="254" spans="1:19" s="3" customFormat="1" x14ac:dyDescent="0.25">
      <c r="A254" s="14"/>
      <c r="B254" s="767" t="s">
        <v>34</v>
      </c>
      <c r="C254" s="768"/>
      <c r="D254" s="768"/>
      <c r="E254" s="768"/>
      <c r="F254" s="768"/>
      <c r="G254" s="768"/>
      <c r="H254" s="768"/>
      <c r="I254" s="768"/>
      <c r="J254" s="768"/>
      <c r="K254" s="768"/>
      <c r="L254" s="769"/>
      <c r="M254" s="216"/>
    </row>
    <row r="255" spans="1:19" s="157" customFormat="1" x14ac:dyDescent="0.25">
      <c r="A255" s="200"/>
      <c r="B255" s="201"/>
      <c r="C255" s="202"/>
      <c r="D255" s="202"/>
      <c r="E255" s="202"/>
      <c r="F255" s="202"/>
      <c r="G255" s="202"/>
      <c r="H255" s="202"/>
      <c r="I255" s="202"/>
      <c r="J255" s="202"/>
      <c r="K255" s="202"/>
      <c r="L255" s="203"/>
    </row>
    <row r="256" spans="1:19" s="157" customFormat="1" x14ac:dyDescent="0.25">
      <c r="A256" s="200"/>
      <c r="B256" s="778" t="str">
        <f>IF(Intro!$G$21="English",O256,P256)</f>
        <v>Décrivez comment votre entreprise a réparti les dépenses suivantes dans votre réponse aux états de résultats fournis à la question 9 de cet onglet :</v>
      </c>
      <c r="C256" s="779"/>
      <c r="D256" s="779"/>
      <c r="E256" s="779"/>
      <c r="F256" s="779"/>
      <c r="G256" s="779"/>
      <c r="H256" s="779"/>
      <c r="I256" s="779"/>
      <c r="J256" s="779"/>
      <c r="K256" s="779"/>
      <c r="L256" s="780"/>
      <c r="O256" s="157" t="s">
        <v>463</v>
      </c>
      <c r="P256" s="157" t="s">
        <v>464</v>
      </c>
    </row>
    <row r="257" spans="1:16" s="157" customFormat="1" x14ac:dyDescent="0.25">
      <c r="A257" s="200"/>
      <c r="B257" s="201"/>
      <c r="C257" s="202"/>
      <c r="D257" s="202"/>
      <c r="E257" s="202"/>
      <c r="F257" s="202"/>
      <c r="G257" s="202"/>
      <c r="H257" s="202"/>
      <c r="I257" s="202"/>
      <c r="J257" s="202"/>
      <c r="K257" s="202"/>
      <c r="L257" s="203"/>
    </row>
    <row r="258" spans="1:16" s="157" customFormat="1" x14ac:dyDescent="0.25">
      <c r="A258" s="200"/>
      <c r="B258" s="650" t="str">
        <f>IF(Intro!$G$21="English",O258,P258)</f>
        <v xml:space="preserve">Frais généraux, de vente, et d'administration </v>
      </c>
      <c r="C258" s="651"/>
      <c r="D258" s="883"/>
      <c r="E258" s="883"/>
      <c r="F258" s="883"/>
      <c r="G258" s="883"/>
      <c r="H258" s="883"/>
      <c r="I258" s="883"/>
      <c r="J258" s="883"/>
      <c r="K258" s="883"/>
      <c r="L258" s="870"/>
      <c r="O258" s="13" t="s">
        <v>77</v>
      </c>
      <c r="P258" s="13" t="s">
        <v>78</v>
      </c>
    </row>
    <row r="259" spans="1:16" s="157" customFormat="1" x14ac:dyDescent="0.25">
      <c r="A259" s="200"/>
      <c r="B259" s="650"/>
      <c r="C259" s="651"/>
      <c r="D259" s="883"/>
      <c r="E259" s="883"/>
      <c r="F259" s="883"/>
      <c r="G259" s="883"/>
      <c r="H259" s="883"/>
      <c r="I259" s="883"/>
      <c r="J259" s="883"/>
      <c r="K259" s="883"/>
      <c r="L259" s="870"/>
      <c r="O259" s="13"/>
      <c r="P259" s="13"/>
    </row>
    <row r="260" spans="1:16" s="157" customFormat="1" x14ac:dyDescent="0.25">
      <c r="A260" s="200"/>
      <c r="B260" s="650"/>
      <c r="C260" s="651"/>
      <c r="D260" s="883"/>
      <c r="E260" s="883"/>
      <c r="F260" s="883"/>
      <c r="G260" s="883"/>
      <c r="H260" s="883"/>
      <c r="I260" s="883"/>
      <c r="J260" s="883"/>
      <c r="K260" s="883"/>
      <c r="L260" s="870"/>
      <c r="O260" s="13"/>
      <c r="P260" s="13"/>
    </row>
    <row r="261" spans="1:16" s="157" customFormat="1" x14ac:dyDescent="0.25">
      <c r="A261" s="200"/>
      <c r="B261" s="650"/>
      <c r="C261" s="651"/>
      <c r="D261" s="883"/>
      <c r="E261" s="883"/>
      <c r="F261" s="883"/>
      <c r="G261" s="883"/>
      <c r="H261" s="883"/>
      <c r="I261" s="883"/>
      <c r="J261" s="883"/>
      <c r="K261" s="883"/>
      <c r="L261" s="870"/>
      <c r="O261" s="13"/>
      <c r="P261" s="13"/>
    </row>
    <row r="262" spans="1:16" s="157" customFormat="1" x14ac:dyDescent="0.25">
      <c r="A262" s="200"/>
      <c r="B262" s="650"/>
      <c r="C262" s="651"/>
      <c r="D262" s="883"/>
      <c r="E262" s="883"/>
      <c r="F262" s="883"/>
      <c r="G262" s="883"/>
      <c r="H262" s="883"/>
      <c r="I262" s="883"/>
      <c r="J262" s="883"/>
      <c r="K262" s="883"/>
      <c r="L262" s="870"/>
      <c r="O262" s="13"/>
      <c r="P262" s="13"/>
    </row>
    <row r="263" spans="1:16" s="157" customFormat="1" x14ac:dyDescent="0.25">
      <c r="A263" s="200"/>
      <c r="B263" s="650"/>
      <c r="C263" s="651"/>
      <c r="D263" s="883"/>
      <c r="E263" s="883"/>
      <c r="F263" s="883"/>
      <c r="G263" s="883"/>
      <c r="H263" s="883"/>
      <c r="I263" s="883"/>
      <c r="J263" s="883"/>
      <c r="K263" s="883"/>
      <c r="L263" s="870"/>
      <c r="O263" s="13"/>
      <c r="P263" s="13"/>
    </row>
    <row r="264" spans="1:16" s="157" customFormat="1" x14ac:dyDescent="0.25">
      <c r="A264" s="200"/>
      <c r="B264" s="650"/>
      <c r="C264" s="651"/>
      <c r="D264" s="883"/>
      <c r="E264" s="883"/>
      <c r="F264" s="883"/>
      <c r="G264" s="883"/>
      <c r="H264" s="883"/>
      <c r="I264" s="883"/>
      <c r="J264" s="883"/>
      <c r="K264" s="883"/>
      <c r="L264" s="870"/>
      <c r="O264" s="13"/>
      <c r="P264" s="13"/>
    </row>
    <row r="265" spans="1:16" s="157" customFormat="1" x14ac:dyDescent="0.25">
      <c r="A265" s="200"/>
      <c r="B265" s="650"/>
      <c r="C265" s="651"/>
      <c r="D265" s="883"/>
      <c r="E265" s="883"/>
      <c r="F265" s="883"/>
      <c r="G265" s="883"/>
      <c r="H265" s="883"/>
      <c r="I265" s="883"/>
      <c r="J265" s="883"/>
      <c r="K265" s="883"/>
      <c r="L265" s="870"/>
      <c r="O265" s="13"/>
      <c r="P265" s="13"/>
    </row>
    <row r="266" spans="1:16" s="157" customFormat="1" x14ac:dyDescent="0.25">
      <c r="A266" s="200"/>
      <c r="B266" s="650" t="str">
        <f>IF(Intro!$G$21="English",O266,P266)</f>
        <v>Charges financières</v>
      </c>
      <c r="C266" s="651"/>
      <c r="D266" s="883"/>
      <c r="E266" s="883"/>
      <c r="F266" s="883"/>
      <c r="G266" s="883"/>
      <c r="H266" s="883"/>
      <c r="I266" s="883"/>
      <c r="J266" s="883"/>
      <c r="K266" s="883"/>
      <c r="L266" s="870"/>
      <c r="O266" s="13" t="s">
        <v>55</v>
      </c>
      <c r="P266" s="13" t="s">
        <v>56</v>
      </c>
    </row>
    <row r="267" spans="1:16" s="157" customFormat="1" x14ac:dyDescent="0.25">
      <c r="A267" s="200"/>
      <c r="B267" s="650"/>
      <c r="C267" s="651"/>
      <c r="D267" s="883"/>
      <c r="E267" s="883"/>
      <c r="F267" s="883"/>
      <c r="G267" s="883"/>
      <c r="H267" s="883"/>
      <c r="I267" s="883"/>
      <c r="J267" s="883"/>
      <c r="K267" s="883"/>
      <c r="L267" s="870"/>
    </row>
    <row r="268" spans="1:16" s="157" customFormat="1" x14ac:dyDescent="0.25">
      <c r="A268" s="200"/>
      <c r="B268" s="650"/>
      <c r="C268" s="651"/>
      <c r="D268" s="883"/>
      <c r="E268" s="883"/>
      <c r="F268" s="883"/>
      <c r="G268" s="883"/>
      <c r="H268" s="883"/>
      <c r="I268" s="883"/>
      <c r="J268" s="883"/>
      <c r="K268" s="883"/>
      <c r="L268" s="870"/>
      <c r="O268" s="13"/>
      <c r="P268" s="13"/>
    </row>
    <row r="269" spans="1:16" s="157" customFormat="1" x14ac:dyDescent="0.25">
      <c r="A269" s="200"/>
      <c r="B269" s="650"/>
      <c r="C269" s="651"/>
      <c r="D269" s="883"/>
      <c r="E269" s="883"/>
      <c r="F269" s="883"/>
      <c r="G269" s="883"/>
      <c r="H269" s="883"/>
      <c r="I269" s="883"/>
      <c r="J269" s="883"/>
      <c r="K269" s="883"/>
      <c r="L269" s="870"/>
      <c r="O269" s="13"/>
      <c r="P269" s="13"/>
    </row>
    <row r="270" spans="1:16" s="157" customFormat="1" x14ac:dyDescent="0.25">
      <c r="A270" s="200"/>
      <c r="B270" s="650"/>
      <c r="C270" s="651"/>
      <c r="D270" s="883"/>
      <c r="E270" s="883"/>
      <c r="F270" s="883"/>
      <c r="G270" s="883"/>
      <c r="H270" s="883"/>
      <c r="I270" s="883"/>
      <c r="J270" s="883"/>
      <c r="K270" s="883"/>
      <c r="L270" s="870"/>
      <c r="O270" s="13"/>
      <c r="P270" s="13"/>
    </row>
    <row r="271" spans="1:16" s="157" customFormat="1" x14ac:dyDescent="0.25">
      <c r="A271" s="200"/>
      <c r="B271" s="650"/>
      <c r="C271" s="651"/>
      <c r="D271" s="883"/>
      <c r="E271" s="883"/>
      <c r="F271" s="883"/>
      <c r="G271" s="883"/>
      <c r="H271" s="883"/>
      <c r="I271" s="883"/>
      <c r="J271" s="883"/>
      <c r="K271" s="883"/>
      <c r="L271" s="870"/>
      <c r="O271" s="13"/>
      <c r="P271" s="13"/>
    </row>
    <row r="272" spans="1:16" s="157" customFormat="1" x14ac:dyDescent="0.25">
      <c r="A272" s="200"/>
      <c r="B272" s="650"/>
      <c r="C272" s="651"/>
      <c r="D272" s="883"/>
      <c r="E272" s="883"/>
      <c r="F272" s="883"/>
      <c r="G272" s="883"/>
      <c r="H272" s="883"/>
      <c r="I272" s="883"/>
      <c r="J272" s="883"/>
      <c r="K272" s="883"/>
      <c r="L272" s="870"/>
      <c r="O272" s="13"/>
      <c r="P272" s="13"/>
    </row>
    <row r="273" spans="1:16" s="157" customFormat="1" x14ac:dyDescent="0.25">
      <c r="A273" s="200"/>
      <c r="B273" s="650"/>
      <c r="C273" s="651"/>
      <c r="D273" s="883"/>
      <c r="E273" s="883"/>
      <c r="F273" s="883"/>
      <c r="G273" s="883"/>
      <c r="H273" s="883"/>
      <c r="I273" s="883"/>
      <c r="J273" s="883"/>
      <c r="K273" s="883"/>
      <c r="L273" s="870"/>
      <c r="O273" s="13"/>
      <c r="P273" s="13"/>
    </row>
    <row r="274" spans="1:16" s="157" customFormat="1" x14ac:dyDescent="0.25">
      <c r="A274" s="200"/>
      <c r="B274" s="650" t="str">
        <f>IF(Intro!$G$21="English",O274,P274)</f>
        <v>Autres dépenses</v>
      </c>
      <c r="C274" s="651"/>
      <c r="D274" s="883"/>
      <c r="E274" s="883"/>
      <c r="F274" s="883"/>
      <c r="G274" s="883"/>
      <c r="H274" s="883"/>
      <c r="I274" s="883"/>
      <c r="J274" s="883"/>
      <c r="K274" s="883"/>
      <c r="L274" s="870"/>
      <c r="O274" s="13" t="s">
        <v>116</v>
      </c>
      <c r="P274" s="13" t="s">
        <v>117</v>
      </c>
    </row>
    <row r="275" spans="1:16" s="157" customFormat="1" x14ac:dyDescent="0.25">
      <c r="A275" s="200"/>
      <c r="B275" s="650"/>
      <c r="C275" s="651"/>
      <c r="D275" s="883"/>
      <c r="E275" s="883"/>
      <c r="F275" s="883"/>
      <c r="G275" s="883"/>
      <c r="H275" s="883"/>
      <c r="I275" s="883"/>
      <c r="J275" s="883"/>
      <c r="K275" s="883"/>
      <c r="L275" s="870"/>
      <c r="O275" s="13"/>
      <c r="P275" s="13"/>
    </row>
    <row r="276" spans="1:16" s="157" customFormat="1" x14ac:dyDescent="0.25">
      <c r="A276" s="200"/>
      <c r="B276" s="650"/>
      <c r="C276" s="651"/>
      <c r="D276" s="883"/>
      <c r="E276" s="883"/>
      <c r="F276" s="883"/>
      <c r="G276" s="883"/>
      <c r="H276" s="883"/>
      <c r="I276" s="883"/>
      <c r="J276" s="883"/>
      <c r="K276" s="883"/>
      <c r="L276" s="870"/>
      <c r="O276" s="13"/>
      <c r="P276" s="13"/>
    </row>
    <row r="277" spans="1:16" s="157" customFormat="1" x14ac:dyDescent="0.25">
      <c r="A277" s="200"/>
      <c r="B277" s="650"/>
      <c r="C277" s="651"/>
      <c r="D277" s="883"/>
      <c r="E277" s="883"/>
      <c r="F277" s="883"/>
      <c r="G277" s="883"/>
      <c r="H277" s="883"/>
      <c r="I277" s="883"/>
      <c r="J277" s="883"/>
      <c r="K277" s="883"/>
      <c r="L277" s="870"/>
      <c r="O277" s="13"/>
      <c r="P277" s="13"/>
    </row>
    <row r="278" spans="1:16" s="157" customFormat="1" x14ac:dyDescent="0.25">
      <c r="A278" s="200"/>
      <c r="B278" s="650"/>
      <c r="C278" s="651"/>
      <c r="D278" s="883"/>
      <c r="E278" s="883"/>
      <c r="F278" s="883"/>
      <c r="G278" s="883"/>
      <c r="H278" s="883"/>
      <c r="I278" s="883"/>
      <c r="J278" s="883"/>
      <c r="K278" s="883"/>
      <c r="L278" s="870"/>
      <c r="O278" s="13"/>
      <c r="P278" s="13"/>
    </row>
    <row r="279" spans="1:16" s="157" customFormat="1" x14ac:dyDescent="0.25">
      <c r="A279" s="200"/>
      <c r="B279" s="650"/>
      <c r="C279" s="651"/>
      <c r="D279" s="883"/>
      <c r="E279" s="883"/>
      <c r="F279" s="883"/>
      <c r="G279" s="883"/>
      <c r="H279" s="883"/>
      <c r="I279" s="883"/>
      <c r="J279" s="883"/>
      <c r="K279" s="883"/>
      <c r="L279" s="870"/>
      <c r="O279" s="13"/>
      <c r="P279" s="13"/>
    </row>
    <row r="280" spans="1:16" s="157" customFormat="1" x14ac:dyDescent="0.25">
      <c r="A280" s="200"/>
      <c r="B280" s="650"/>
      <c r="C280" s="651"/>
      <c r="D280" s="883"/>
      <c r="E280" s="883"/>
      <c r="F280" s="883"/>
      <c r="G280" s="883"/>
      <c r="H280" s="883"/>
      <c r="I280" s="883"/>
      <c r="J280" s="883"/>
      <c r="K280" s="883"/>
      <c r="L280" s="870"/>
      <c r="O280" s="13"/>
      <c r="P280" s="13"/>
    </row>
    <row r="281" spans="1:16" s="157" customFormat="1" x14ac:dyDescent="0.25">
      <c r="A281" s="200"/>
      <c r="B281" s="650"/>
      <c r="C281" s="651"/>
      <c r="D281" s="883"/>
      <c r="E281" s="883"/>
      <c r="F281" s="883"/>
      <c r="G281" s="883"/>
      <c r="H281" s="883"/>
      <c r="I281" s="883"/>
      <c r="J281" s="883"/>
      <c r="K281" s="883"/>
      <c r="L281" s="870"/>
      <c r="O281" s="13"/>
      <c r="P281" s="13"/>
    </row>
    <row r="282" spans="1:16" s="157" customFormat="1" x14ac:dyDescent="0.25">
      <c r="A282" s="200"/>
      <c r="B282" s="207"/>
      <c r="C282" s="208"/>
      <c r="D282" s="208"/>
      <c r="E282" s="208"/>
      <c r="F282" s="208"/>
      <c r="G282" s="208"/>
      <c r="H282" s="208"/>
      <c r="I282" s="208"/>
      <c r="J282" s="208"/>
      <c r="K282" s="208"/>
      <c r="L282" s="209"/>
    </row>
    <row r="283" spans="1:16" s="3" customFormat="1" x14ac:dyDescent="0.25">
      <c r="A283" s="14"/>
      <c r="B283" s="767" t="s">
        <v>35</v>
      </c>
      <c r="C283" s="768"/>
      <c r="D283" s="768"/>
      <c r="E283" s="768"/>
      <c r="F283" s="768"/>
      <c r="G283" s="768"/>
      <c r="H283" s="768"/>
      <c r="I283" s="768"/>
      <c r="J283" s="768"/>
      <c r="K283" s="768"/>
      <c r="L283" s="769"/>
      <c r="M283" s="216"/>
    </row>
    <row r="284" spans="1:16" s="157" customFormat="1" x14ac:dyDescent="0.25">
      <c r="A284" s="200"/>
      <c r="B284" s="201"/>
      <c r="C284" s="202"/>
      <c r="D284" s="202"/>
      <c r="E284" s="202"/>
      <c r="F284" s="202"/>
      <c r="G284" s="202"/>
      <c r="H284" s="202"/>
      <c r="I284" s="202"/>
      <c r="J284" s="202"/>
      <c r="K284" s="202"/>
      <c r="L284" s="203"/>
    </row>
    <row r="285" spans="1:16" s="157" customFormat="1" x14ac:dyDescent="0.25">
      <c r="A285" s="200"/>
      <c r="B285" s="694" t="str">
        <f>IF(Intro!$G$21="English",O285,P285)</f>
        <v>Décrivez les plans de votre entreprise pour gérer le rendement financier des deux prochaines années. Fournissez les motifs et les hypothèses sous-tendant ces objectifs et ces stratégies.</v>
      </c>
      <c r="C285" s="695"/>
      <c r="D285" s="695"/>
      <c r="E285" s="695"/>
      <c r="F285" s="695"/>
      <c r="G285" s="695"/>
      <c r="H285" s="695"/>
      <c r="I285" s="695"/>
      <c r="J285" s="695"/>
      <c r="K285" s="695"/>
      <c r="L285" s="696"/>
      <c r="O285" s="157" t="s">
        <v>410</v>
      </c>
      <c r="P285" s="157" t="s">
        <v>272</v>
      </c>
    </row>
    <row r="286" spans="1:16" s="157" customFormat="1" x14ac:dyDescent="0.25">
      <c r="A286" s="200"/>
      <c r="B286" s="694"/>
      <c r="C286" s="695"/>
      <c r="D286" s="695"/>
      <c r="E286" s="695"/>
      <c r="F286" s="695"/>
      <c r="G286" s="695"/>
      <c r="H286" s="695"/>
      <c r="I286" s="695"/>
      <c r="J286" s="695"/>
      <c r="K286" s="695"/>
      <c r="L286" s="696"/>
    </row>
    <row r="287" spans="1:16" s="157" customFormat="1" x14ac:dyDescent="0.25">
      <c r="A287" s="200"/>
      <c r="B287" s="201"/>
      <c r="C287" s="202"/>
      <c r="D287" s="202"/>
      <c r="E287" s="202"/>
      <c r="F287" s="202"/>
      <c r="G287" s="202"/>
      <c r="H287" s="202"/>
      <c r="I287" s="202"/>
      <c r="J287" s="202"/>
      <c r="K287" s="202"/>
      <c r="L287" s="203"/>
    </row>
    <row r="288" spans="1:16" s="3" customFormat="1" x14ac:dyDescent="0.25">
      <c r="A288" s="15"/>
      <c r="B288" s="773"/>
      <c r="C288" s="774"/>
      <c r="D288" s="774"/>
      <c r="E288" s="774"/>
      <c r="F288" s="774"/>
      <c r="G288" s="774"/>
      <c r="H288" s="774"/>
      <c r="I288" s="774"/>
      <c r="J288" s="774"/>
      <c r="K288" s="774"/>
      <c r="L288" s="775"/>
      <c r="M288" s="182"/>
      <c r="O288" s="176"/>
      <c r="P288" s="176"/>
    </row>
    <row r="289" spans="1:16" s="3" customFormat="1" x14ac:dyDescent="0.25">
      <c r="A289" s="15"/>
      <c r="B289" s="773"/>
      <c r="C289" s="774"/>
      <c r="D289" s="774"/>
      <c r="E289" s="774"/>
      <c r="F289" s="774"/>
      <c r="G289" s="774"/>
      <c r="H289" s="774"/>
      <c r="I289" s="774"/>
      <c r="J289" s="774"/>
      <c r="K289" s="774"/>
      <c r="L289" s="775"/>
      <c r="M289" s="182"/>
      <c r="O289" s="176"/>
      <c r="P289" s="176"/>
    </row>
    <row r="290" spans="1:16" s="3" customFormat="1" x14ac:dyDescent="0.25">
      <c r="A290" s="15"/>
      <c r="B290" s="773"/>
      <c r="C290" s="774"/>
      <c r="D290" s="774"/>
      <c r="E290" s="774"/>
      <c r="F290" s="774"/>
      <c r="G290" s="774"/>
      <c r="H290" s="774"/>
      <c r="I290" s="774"/>
      <c r="J290" s="774"/>
      <c r="K290" s="774"/>
      <c r="L290" s="775"/>
      <c r="M290" s="182"/>
      <c r="O290" s="176"/>
      <c r="P290" s="176"/>
    </row>
    <row r="291" spans="1:16" s="3" customFormat="1" x14ac:dyDescent="0.25">
      <c r="A291" s="15"/>
      <c r="B291" s="773"/>
      <c r="C291" s="774"/>
      <c r="D291" s="774"/>
      <c r="E291" s="774"/>
      <c r="F291" s="774"/>
      <c r="G291" s="774"/>
      <c r="H291" s="774"/>
      <c r="I291" s="774"/>
      <c r="J291" s="774"/>
      <c r="K291" s="774"/>
      <c r="L291" s="775"/>
      <c r="M291" s="182"/>
      <c r="O291" s="176"/>
      <c r="P291" s="176"/>
    </row>
    <row r="292" spans="1:16" s="3" customFormat="1" x14ac:dyDescent="0.25">
      <c r="A292" s="15"/>
      <c r="B292" s="773"/>
      <c r="C292" s="774"/>
      <c r="D292" s="774"/>
      <c r="E292" s="774"/>
      <c r="F292" s="774"/>
      <c r="G292" s="774"/>
      <c r="H292" s="774"/>
      <c r="I292" s="774"/>
      <c r="J292" s="774"/>
      <c r="K292" s="774"/>
      <c r="L292" s="775"/>
      <c r="M292" s="182"/>
      <c r="O292" s="176"/>
      <c r="P292" s="176"/>
    </row>
    <row r="293" spans="1:16" s="3" customFormat="1" x14ac:dyDescent="0.25">
      <c r="A293" s="15"/>
      <c r="B293" s="773"/>
      <c r="C293" s="774"/>
      <c r="D293" s="774"/>
      <c r="E293" s="774"/>
      <c r="F293" s="774"/>
      <c r="G293" s="774"/>
      <c r="H293" s="774"/>
      <c r="I293" s="774"/>
      <c r="J293" s="774"/>
      <c r="K293" s="774"/>
      <c r="L293" s="775"/>
      <c r="M293" s="182"/>
      <c r="O293" s="176"/>
      <c r="P293" s="176"/>
    </row>
    <row r="294" spans="1:16" s="3" customFormat="1" x14ac:dyDescent="0.25">
      <c r="A294" s="15"/>
      <c r="B294" s="773"/>
      <c r="C294" s="774"/>
      <c r="D294" s="774"/>
      <c r="E294" s="774"/>
      <c r="F294" s="774"/>
      <c r="G294" s="774"/>
      <c r="H294" s="774"/>
      <c r="I294" s="774"/>
      <c r="J294" s="774"/>
      <c r="K294" s="774"/>
      <c r="L294" s="775"/>
      <c r="M294" s="182"/>
      <c r="O294" s="176"/>
      <c r="P294" s="176"/>
    </row>
    <row r="295" spans="1:16" s="3" customFormat="1" x14ac:dyDescent="0.25">
      <c r="A295" s="15"/>
      <c r="B295" s="773"/>
      <c r="C295" s="774"/>
      <c r="D295" s="774"/>
      <c r="E295" s="774"/>
      <c r="F295" s="774"/>
      <c r="G295" s="774"/>
      <c r="H295" s="774"/>
      <c r="I295" s="774"/>
      <c r="J295" s="774"/>
      <c r="K295" s="774"/>
      <c r="L295" s="775"/>
      <c r="M295" s="182"/>
      <c r="O295" s="176"/>
      <c r="P295" s="176"/>
    </row>
    <row r="296" spans="1:16" s="157" customFormat="1" x14ac:dyDescent="0.25">
      <c r="A296" s="200"/>
      <c r="B296" s="207"/>
      <c r="C296" s="208"/>
      <c r="D296" s="208"/>
      <c r="E296" s="208"/>
      <c r="F296" s="208"/>
      <c r="G296" s="208"/>
      <c r="H296" s="208"/>
      <c r="I296" s="208"/>
      <c r="J296" s="208"/>
      <c r="K296" s="208"/>
      <c r="L296" s="209"/>
    </row>
    <row r="297" spans="1:16" s="12" customFormat="1" x14ac:dyDescent="0.25">
      <c r="A297" s="14"/>
      <c r="B297" s="192"/>
      <c r="C297" s="159"/>
      <c r="D297" s="44"/>
      <c r="E297" s="45"/>
      <c r="F297" s="45"/>
      <c r="G297" s="45"/>
      <c r="H297" s="45"/>
      <c r="I297" s="45"/>
      <c r="J297" s="45"/>
      <c r="K297" s="45"/>
      <c r="L297" s="52"/>
      <c r="O297" s="13"/>
    </row>
    <row r="298" spans="1:16" x14ac:dyDescent="0.25">
      <c r="B298" s="888" t="str">
        <f>IF(Intro!$G$21="English",O298,P298)</f>
        <v>INVESTISSEMENTS</v>
      </c>
      <c r="C298" s="889"/>
      <c r="D298" s="889"/>
      <c r="E298" s="889"/>
      <c r="F298" s="889"/>
      <c r="G298" s="889"/>
      <c r="H298" s="889"/>
      <c r="I298" s="889"/>
      <c r="J298" s="889"/>
      <c r="K298" s="889"/>
      <c r="L298" s="890"/>
      <c r="M298" s="157"/>
      <c r="O298" s="2" t="s">
        <v>80</v>
      </c>
      <c r="P298" s="2" t="s">
        <v>81</v>
      </c>
    </row>
    <row r="299" spans="1:16" s="3" customFormat="1" x14ac:dyDescent="0.25">
      <c r="A299" s="14"/>
      <c r="B299" s="767" t="s">
        <v>36</v>
      </c>
      <c r="C299" s="768"/>
      <c r="D299" s="768"/>
      <c r="E299" s="768"/>
      <c r="F299" s="768"/>
      <c r="G299" s="768"/>
      <c r="H299" s="768"/>
      <c r="I299" s="768"/>
      <c r="J299" s="768"/>
      <c r="K299" s="768"/>
      <c r="L299" s="769"/>
      <c r="M299" s="216"/>
    </row>
    <row r="300" spans="1:16" s="157" customFormat="1" x14ac:dyDescent="0.25">
      <c r="A300" s="200"/>
      <c r="B300" s="201"/>
      <c r="C300" s="202"/>
      <c r="D300" s="202"/>
      <c r="E300" s="202"/>
      <c r="F300" s="202"/>
      <c r="G300" s="202"/>
      <c r="H300" s="202"/>
      <c r="I300" s="202"/>
      <c r="J300" s="202"/>
      <c r="K300" s="202"/>
      <c r="L300" s="203"/>
    </row>
    <row r="301" spans="1:16" s="157" customFormat="1" x14ac:dyDescent="0.25">
      <c r="A301" s="200"/>
      <c r="B301" s="778" t="str">
        <f>IF(Intro!$G$21="English",O301,P301)</f>
        <v>Indiquez les investissements antérieurs et prévus de votre entreprise consacrés à ses installations des marchandises pour chaque période indiquée.</v>
      </c>
      <c r="C301" s="779"/>
      <c r="D301" s="779"/>
      <c r="E301" s="779"/>
      <c r="F301" s="779"/>
      <c r="G301" s="779"/>
      <c r="H301" s="779"/>
      <c r="I301" s="779"/>
      <c r="J301" s="779"/>
      <c r="K301" s="779"/>
      <c r="L301" s="780"/>
      <c r="O301" s="157" t="s">
        <v>163</v>
      </c>
      <c r="P301" s="157" t="s">
        <v>164</v>
      </c>
    </row>
    <row r="302" spans="1:16" s="157" customFormat="1" x14ac:dyDescent="0.25">
      <c r="A302" s="200"/>
      <c r="B302" s="201"/>
      <c r="C302" s="202"/>
      <c r="D302" s="202"/>
      <c r="E302" s="202"/>
      <c r="F302" s="202"/>
      <c r="G302" s="202"/>
      <c r="H302" s="202"/>
      <c r="I302" s="202"/>
      <c r="J302" s="202"/>
      <c r="K302" s="202"/>
      <c r="L302" s="203"/>
    </row>
    <row r="303" spans="1:16" s="12" customFormat="1" x14ac:dyDescent="0.25">
      <c r="A303" s="14"/>
      <c r="B303" s="186"/>
      <c r="C303" s="187"/>
      <c r="D303" s="32"/>
      <c r="E303" s="302">
        <f>Variables!$B$6</f>
        <v>2022</v>
      </c>
      <c r="F303" s="302">
        <f>E303+1</f>
        <v>2023</v>
      </c>
      <c r="G303" s="302">
        <f t="shared" ref="G303:J303" si="28">F303+1</f>
        <v>2024</v>
      </c>
      <c r="H303" s="302">
        <f t="shared" si="28"/>
        <v>2025</v>
      </c>
      <c r="I303" s="302">
        <f t="shared" si="28"/>
        <v>2026</v>
      </c>
      <c r="J303" s="302">
        <f t="shared" si="28"/>
        <v>2027</v>
      </c>
      <c r="K303" s="221"/>
      <c r="L303" s="206"/>
      <c r="O303" s="13"/>
    </row>
    <row r="304" spans="1:16" s="157" customFormat="1" x14ac:dyDescent="0.25">
      <c r="A304" s="200"/>
      <c r="B304" s="886" t="str">
        <f>IF(Intro!$G$21="English",O304,P304)</f>
        <v>Investissements</v>
      </c>
      <c r="C304" s="887"/>
      <c r="D304" s="289" t="s">
        <v>594</v>
      </c>
      <c r="E304" s="279"/>
      <c r="F304" s="279"/>
      <c r="G304" s="279"/>
      <c r="H304" s="279"/>
      <c r="I304" s="279"/>
      <c r="J304" s="279"/>
      <c r="K304" s="221"/>
      <c r="L304" s="206"/>
      <c r="O304" s="157" t="s">
        <v>269</v>
      </c>
      <c r="P304" s="157" t="s">
        <v>270</v>
      </c>
    </row>
    <row r="305" spans="1:16" s="157" customFormat="1" x14ac:dyDescent="0.25">
      <c r="A305" s="200"/>
      <c r="B305" s="207"/>
      <c r="C305" s="208"/>
      <c r="D305" s="208"/>
      <c r="E305" s="208"/>
      <c r="F305" s="208"/>
      <c r="G305" s="208"/>
      <c r="H305" s="208"/>
      <c r="I305" s="208"/>
      <c r="J305" s="208"/>
      <c r="K305" s="208"/>
      <c r="L305" s="209"/>
    </row>
    <row r="306" spans="1:16" s="3" customFormat="1" x14ac:dyDescent="0.25">
      <c r="A306" s="14"/>
      <c r="B306" s="767" t="s">
        <v>37</v>
      </c>
      <c r="C306" s="768"/>
      <c r="D306" s="768"/>
      <c r="E306" s="768"/>
      <c r="F306" s="768"/>
      <c r="G306" s="768"/>
      <c r="H306" s="768"/>
      <c r="I306" s="768"/>
      <c r="J306" s="768"/>
      <c r="K306" s="768"/>
      <c r="L306" s="769"/>
      <c r="M306" s="216"/>
    </row>
    <row r="307" spans="1:16" s="157" customFormat="1" x14ac:dyDescent="0.25">
      <c r="A307" s="200"/>
      <c r="B307" s="201"/>
      <c r="C307" s="202"/>
      <c r="D307" s="202"/>
      <c r="E307" s="202"/>
      <c r="F307" s="202"/>
      <c r="G307" s="202"/>
      <c r="H307" s="202"/>
      <c r="I307" s="202"/>
      <c r="J307" s="202"/>
      <c r="K307" s="202"/>
      <c r="L307" s="203"/>
    </row>
    <row r="308" spans="1:16" s="157" customFormat="1" x14ac:dyDescent="0.25">
      <c r="A308" s="200"/>
      <c r="B308" s="694" t="str">
        <f>IF(Intro!$G$21="English",O308,P308)</f>
        <v>Décrivez les principaux investissements antérieurs et prévus de votre entreprise, les installations qui en sont l’objet ou en ont été l’objet et les motifs de ces investissements.</v>
      </c>
      <c r="C308" s="695"/>
      <c r="D308" s="695"/>
      <c r="E308" s="695"/>
      <c r="F308" s="695"/>
      <c r="G308" s="695"/>
      <c r="H308" s="695"/>
      <c r="I308" s="695"/>
      <c r="J308" s="695"/>
      <c r="K308" s="695"/>
      <c r="L308" s="696"/>
      <c r="O308" s="157" t="s">
        <v>165</v>
      </c>
      <c r="P308" s="157" t="s">
        <v>166</v>
      </c>
    </row>
    <row r="309" spans="1:16" s="157" customFormat="1" x14ac:dyDescent="0.25">
      <c r="A309" s="200"/>
      <c r="B309" s="694"/>
      <c r="C309" s="695"/>
      <c r="D309" s="695"/>
      <c r="E309" s="695"/>
      <c r="F309" s="695"/>
      <c r="G309" s="695"/>
      <c r="H309" s="695"/>
      <c r="I309" s="695"/>
      <c r="J309" s="695"/>
      <c r="K309" s="695"/>
      <c r="L309" s="696"/>
    </row>
    <row r="310" spans="1:16" s="157" customFormat="1" x14ac:dyDescent="0.25">
      <c r="A310" s="200"/>
      <c r="B310" s="201"/>
      <c r="C310" s="202"/>
      <c r="D310" s="202"/>
      <c r="E310" s="202"/>
      <c r="F310" s="202"/>
      <c r="G310" s="202"/>
      <c r="H310" s="202"/>
      <c r="I310" s="202"/>
      <c r="J310" s="202"/>
      <c r="K310" s="202"/>
      <c r="L310" s="203"/>
    </row>
    <row r="311" spans="1:16" s="3" customFormat="1" x14ac:dyDescent="0.25">
      <c r="A311" s="15"/>
      <c r="B311" s="773"/>
      <c r="C311" s="774"/>
      <c r="D311" s="774"/>
      <c r="E311" s="774"/>
      <c r="F311" s="774"/>
      <c r="G311" s="774"/>
      <c r="H311" s="774"/>
      <c r="I311" s="774"/>
      <c r="J311" s="774"/>
      <c r="K311" s="774"/>
      <c r="L311" s="775"/>
      <c r="M311" s="182"/>
      <c r="O311" s="176"/>
      <c r="P311" s="176"/>
    </row>
    <row r="312" spans="1:16" s="3" customFormat="1" x14ac:dyDescent="0.25">
      <c r="A312" s="15"/>
      <c r="B312" s="773"/>
      <c r="C312" s="774"/>
      <c r="D312" s="774"/>
      <c r="E312" s="774"/>
      <c r="F312" s="774"/>
      <c r="G312" s="774"/>
      <c r="H312" s="774"/>
      <c r="I312" s="774"/>
      <c r="J312" s="774"/>
      <c r="K312" s="774"/>
      <c r="L312" s="775"/>
      <c r="M312" s="182"/>
      <c r="O312" s="176"/>
      <c r="P312" s="176"/>
    </row>
    <row r="313" spans="1:16" s="3" customFormat="1" x14ac:dyDescent="0.25">
      <c r="A313" s="15"/>
      <c r="B313" s="773"/>
      <c r="C313" s="774"/>
      <c r="D313" s="774"/>
      <c r="E313" s="774"/>
      <c r="F313" s="774"/>
      <c r="G313" s="774"/>
      <c r="H313" s="774"/>
      <c r="I313" s="774"/>
      <c r="J313" s="774"/>
      <c r="K313" s="774"/>
      <c r="L313" s="775"/>
      <c r="M313" s="182"/>
      <c r="O313" s="176"/>
      <c r="P313" s="176"/>
    </row>
    <row r="314" spans="1:16" s="3" customFormat="1" x14ac:dyDescent="0.25">
      <c r="A314" s="15"/>
      <c r="B314" s="773"/>
      <c r="C314" s="774"/>
      <c r="D314" s="774"/>
      <c r="E314" s="774"/>
      <c r="F314" s="774"/>
      <c r="G314" s="774"/>
      <c r="H314" s="774"/>
      <c r="I314" s="774"/>
      <c r="J314" s="774"/>
      <c r="K314" s="774"/>
      <c r="L314" s="775"/>
      <c r="M314" s="182"/>
      <c r="O314" s="176"/>
      <c r="P314" s="176"/>
    </row>
    <row r="315" spans="1:16" s="3" customFormat="1" x14ac:dyDescent="0.25">
      <c r="A315" s="15"/>
      <c r="B315" s="773"/>
      <c r="C315" s="774"/>
      <c r="D315" s="774"/>
      <c r="E315" s="774"/>
      <c r="F315" s="774"/>
      <c r="G315" s="774"/>
      <c r="H315" s="774"/>
      <c r="I315" s="774"/>
      <c r="J315" s="774"/>
      <c r="K315" s="774"/>
      <c r="L315" s="775"/>
      <c r="M315" s="182"/>
      <c r="O315" s="176"/>
      <c r="P315" s="176"/>
    </row>
    <row r="316" spans="1:16" s="3" customFormat="1" x14ac:dyDescent="0.25">
      <c r="A316" s="15"/>
      <c r="B316" s="773"/>
      <c r="C316" s="774"/>
      <c r="D316" s="774"/>
      <c r="E316" s="774"/>
      <c r="F316" s="774"/>
      <c r="G316" s="774"/>
      <c r="H316" s="774"/>
      <c r="I316" s="774"/>
      <c r="J316" s="774"/>
      <c r="K316" s="774"/>
      <c r="L316" s="775"/>
      <c r="M316" s="182"/>
      <c r="O316" s="176"/>
      <c r="P316" s="176"/>
    </row>
    <row r="317" spans="1:16" s="3" customFormat="1" x14ac:dyDescent="0.25">
      <c r="A317" s="15"/>
      <c r="B317" s="773"/>
      <c r="C317" s="774"/>
      <c r="D317" s="774"/>
      <c r="E317" s="774"/>
      <c r="F317" s="774"/>
      <c r="G317" s="774"/>
      <c r="H317" s="774"/>
      <c r="I317" s="774"/>
      <c r="J317" s="774"/>
      <c r="K317" s="774"/>
      <c r="L317" s="775"/>
      <c r="M317" s="182"/>
      <c r="O317" s="176"/>
      <c r="P317" s="176"/>
    </row>
    <row r="318" spans="1:16" s="3" customFormat="1" x14ac:dyDescent="0.25">
      <c r="A318" s="15"/>
      <c r="B318" s="773"/>
      <c r="C318" s="774"/>
      <c r="D318" s="774"/>
      <c r="E318" s="774"/>
      <c r="F318" s="774"/>
      <c r="G318" s="774"/>
      <c r="H318" s="774"/>
      <c r="I318" s="774"/>
      <c r="J318" s="774"/>
      <c r="K318" s="774"/>
      <c r="L318" s="775"/>
      <c r="M318" s="182"/>
      <c r="O318" s="176"/>
      <c r="P318" s="176"/>
    </row>
    <row r="319" spans="1:16" s="157" customFormat="1" x14ac:dyDescent="0.25">
      <c r="A319" s="200"/>
      <c r="B319" s="207"/>
      <c r="C319" s="208"/>
      <c r="D319" s="208"/>
      <c r="E319" s="208"/>
      <c r="F319" s="208"/>
      <c r="G319" s="208"/>
      <c r="H319" s="208"/>
      <c r="I319" s="208"/>
      <c r="J319" s="208"/>
      <c r="K319" s="208"/>
      <c r="L319" s="209"/>
    </row>
    <row r="320" spans="1:16" s="3" customFormat="1" x14ac:dyDescent="0.25">
      <c r="A320" s="14"/>
      <c r="B320" s="767" t="s">
        <v>38</v>
      </c>
      <c r="C320" s="768"/>
      <c r="D320" s="768"/>
      <c r="E320" s="768"/>
      <c r="F320" s="768"/>
      <c r="G320" s="768"/>
      <c r="H320" s="768"/>
      <c r="I320" s="768"/>
      <c r="J320" s="768"/>
      <c r="K320" s="768"/>
      <c r="L320" s="769"/>
      <c r="M320" s="216"/>
    </row>
    <row r="321" spans="1:16" s="157" customFormat="1" x14ac:dyDescent="0.25">
      <c r="A321" s="200"/>
      <c r="B321" s="201"/>
      <c r="C321" s="202"/>
      <c r="D321" s="202"/>
      <c r="E321" s="202"/>
      <c r="F321" s="202"/>
      <c r="G321" s="202"/>
      <c r="H321" s="202"/>
      <c r="I321" s="202"/>
      <c r="J321" s="202"/>
      <c r="K321" s="202"/>
      <c r="L321" s="203"/>
    </row>
    <row r="322" spans="1:16" s="157" customFormat="1" x14ac:dyDescent="0.25">
      <c r="A322" s="200"/>
      <c r="B322" s="778" t="str">
        <f>IF(Intro!$G$21="English",O322,P322)</f>
        <v>Décrivez l’incidence des investissements faits par votre entreprise depuis le 1er janvier 2022 sur les aspects suivants :</v>
      </c>
      <c r="C322" s="779"/>
      <c r="D322" s="779"/>
      <c r="E322" s="779"/>
      <c r="F322" s="779"/>
      <c r="G322" s="779"/>
      <c r="H322" s="779"/>
      <c r="I322" s="779"/>
      <c r="J322" s="779"/>
      <c r="K322" s="779"/>
      <c r="L322" s="780"/>
      <c r="O322" s="157" t="str">
        <f>"Describe the impact of investments made by your firm since January 1, "&amp;Variables!B6&amp;" on the following:"</f>
        <v>Describe the impact of investments made by your firm since January 1, 2022 on the following:</v>
      </c>
      <c r="P322" s="157" t="str">
        <f>"Décrivez l’incidence des investissements faits par votre entreprise depuis le 1er janvier "&amp;Variables!B6&amp;" sur les aspects suivants :"</f>
        <v>Décrivez l’incidence des investissements faits par votre entreprise depuis le 1er janvier 2022 sur les aspects suivants :</v>
      </c>
    </row>
    <row r="323" spans="1:16" s="157" customFormat="1" x14ac:dyDescent="0.25">
      <c r="A323" s="200"/>
      <c r="B323" s="201"/>
      <c r="C323" s="202"/>
      <c r="D323" s="202"/>
      <c r="E323" s="202"/>
      <c r="F323" s="202"/>
      <c r="G323" s="202"/>
      <c r="H323" s="202"/>
      <c r="I323" s="202"/>
      <c r="J323" s="202"/>
      <c r="K323" s="202"/>
      <c r="L323" s="203"/>
    </row>
    <row r="324" spans="1:16" s="157" customFormat="1" x14ac:dyDescent="0.25">
      <c r="A324" s="200"/>
      <c r="B324" s="650" t="str">
        <f>IF(Intro!$G$21="English",O324,P324)</f>
        <v>Productivité</v>
      </c>
      <c r="C324" s="651"/>
      <c r="D324" s="883"/>
      <c r="E324" s="883"/>
      <c r="F324" s="883"/>
      <c r="G324" s="883"/>
      <c r="H324" s="883"/>
      <c r="I324" s="883"/>
      <c r="J324" s="883"/>
      <c r="K324" s="883"/>
      <c r="L324" s="870"/>
      <c r="O324" s="13" t="s">
        <v>82</v>
      </c>
      <c r="P324" s="13" t="s">
        <v>83</v>
      </c>
    </row>
    <row r="325" spans="1:16" s="3" customFormat="1" x14ac:dyDescent="0.25">
      <c r="A325" s="15"/>
      <c r="B325" s="650"/>
      <c r="C325" s="651"/>
      <c r="D325" s="883"/>
      <c r="E325" s="883"/>
      <c r="F325" s="883"/>
      <c r="G325" s="883"/>
      <c r="H325" s="883"/>
      <c r="I325" s="883"/>
      <c r="J325" s="883"/>
      <c r="K325" s="883"/>
      <c r="L325" s="870"/>
      <c r="M325" s="182"/>
      <c r="O325" s="176"/>
      <c r="P325" s="176"/>
    </row>
    <row r="326" spans="1:16" s="3" customFormat="1" x14ac:dyDescent="0.25">
      <c r="A326" s="15"/>
      <c r="B326" s="650"/>
      <c r="C326" s="651"/>
      <c r="D326" s="883"/>
      <c r="E326" s="883"/>
      <c r="F326" s="883"/>
      <c r="G326" s="883"/>
      <c r="H326" s="883"/>
      <c r="I326" s="883"/>
      <c r="J326" s="883"/>
      <c r="K326" s="883"/>
      <c r="L326" s="870"/>
      <c r="M326" s="182"/>
      <c r="O326" s="176"/>
      <c r="P326" s="176"/>
    </row>
    <row r="327" spans="1:16" s="3" customFormat="1" x14ac:dyDescent="0.25">
      <c r="A327" s="15"/>
      <c r="B327" s="650"/>
      <c r="C327" s="651"/>
      <c r="D327" s="883"/>
      <c r="E327" s="883"/>
      <c r="F327" s="883"/>
      <c r="G327" s="883"/>
      <c r="H327" s="883"/>
      <c r="I327" s="883"/>
      <c r="J327" s="883"/>
      <c r="K327" s="883"/>
      <c r="L327" s="870"/>
      <c r="M327" s="182"/>
      <c r="O327" s="176"/>
      <c r="P327" s="176"/>
    </row>
    <row r="328" spans="1:16" s="3" customFormat="1" x14ac:dyDescent="0.25">
      <c r="A328" s="15"/>
      <c r="B328" s="650"/>
      <c r="C328" s="651"/>
      <c r="D328" s="883"/>
      <c r="E328" s="883"/>
      <c r="F328" s="883"/>
      <c r="G328" s="883"/>
      <c r="H328" s="883"/>
      <c r="I328" s="883"/>
      <c r="J328" s="883"/>
      <c r="K328" s="883"/>
      <c r="L328" s="870"/>
      <c r="M328" s="182"/>
      <c r="O328" s="176"/>
      <c r="P328" s="176"/>
    </row>
    <row r="329" spans="1:16" s="157" customFormat="1" x14ac:dyDescent="0.25">
      <c r="A329" s="200"/>
      <c r="B329" s="650"/>
      <c r="C329" s="651"/>
      <c r="D329" s="883"/>
      <c r="E329" s="883"/>
      <c r="F329" s="883"/>
      <c r="G329" s="883"/>
      <c r="H329" s="883"/>
      <c r="I329" s="883"/>
      <c r="J329" s="883"/>
      <c r="K329" s="883"/>
      <c r="L329" s="870"/>
    </row>
    <row r="330" spans="1:16" s="157" customFormat="1" x14ac:dyDescent="0.25">
      <c r="A330" s="200"/>
      <c r="B330" s="650"/>
      <c r="C330" s="651"/>
      <c r="D330" s="883"/>
      <c r="E330" s="883"/>
      <c r="F330" s="883"/>
      <c r="G330" s="883"/>
      <c r="H330" s="883"/>
      <c r="I330" s="883"/>
      <c r="J330" s="883"/>
      <c r="K330" s="883"/>
      <c r="L330" s="870"/>
    </row>
    <row r="331" spans="1:16" s="157" customFormat="1" x14ac:dyDescent="0.25">
      <c r="A331" s="200"/>
      <c r="B331" s="650"/>
      <c r="C331" s="651"/>
      <c r="D331" s="883"/>
      <c r="E331" s="883"/>
      <c r="F331" s="883"/>
      <c r="G331" s="883"/>
      <c r="H331" s="883"/>
      <c r="I331" s="883"/>
      <c r="J331" s="883"/>
      <c r="K331" s="883"/>
      <c r="L331" s="870"/>
      <c r="O331" s="13"/>
      <c r="P331" s="13"/>
    </row>
    <row r="332" spans="1:16" s="157" customFormat="1" x14ac:dyDescent="0.25">
      <c r="A332" s="200"/>
      <c r="B332" s="650"/>
      <c r="C332" s="651"/>
      <c r="D332" s="883"/>
      <c r="E332" s="883"/>
      <c r="F332" s="883"/>
      <c r="G332" s="883"/>
      <c r="H332" s="883"/>
      <c r="I332" s="883"/>
      <c r="J332" s="883"/>
      <c r="K332" s="883"/>
      <c r="L332" s="870"/>
      <c r="O332" s="13"/>
      <c r="P332" s="13"/>
    </row>
    <row r="333" spans="1:16" s="157" customFormat="1" x14ac:dyDescent="0.25">
      <c r="A333" s="200"/>
      <c r="B333" s="650"/>
      <c r="C333" s="651"/>
      <c r="D333" s="883"/>
      <c r="E333" s="883"/>
      <c r="F333" s="883"/>
      <c r="G333" s="883"/>
      <c r="H333" s="883"/>
      <c r="I333" s="883"/>
      <c r="J333" s="883"/>
      <c r="K333" s="883"/>
      <c r="L333" s="870"/>
      <c r="O333" s="13"/>
      <c r="P333" s="13"/>
    </row>
    <row r="334" spans="1:16" s="157" customFormat="1" x14ac:dyDescent="0.25">
      <c r="A334" s="200"/>
      <c r="B334" s="650" t="str">
        <f>IF(Intro!$G$21="English",O334,P334)</f>
        <v>Emplois</v>
      </c>
      <c r="C334" s="651"/>
      <c r="D334" s="883"/>
      <c r="E334" s="883"/>
      <c r="F334" s="883"/>
      <c r="G334" s="883"/>
      <c r="H334" s="883"/>
      <c r="I334" s="883"/>
      <c r="J334" s="883"/>
      <c r="K334" s="883"/>
      <c r="L334" s="870"/>
      <c r="O334" s="13" t="s">
        <v>84</v>
      </c>
      <c r="P334" s="13" t="s">
        <v>85</v>
      </c>
    </row>
    <row r="335" spans="1:16" s="157" customFormat="1" x14ac:dyDescent="0.25">
      <c r="A335" s="200"/>
      <c r="B335" s="650"/>
      <c r="C335" s="651"/>
      <c r="D335" s="883"/>
      <c r="E335" s="883"/>
      <c r="F335" s="883"/>
      <c r="G335" s="883"/>
      <c r="H335" s="883"/>
      <c r="I335" s="883"/>
      <c r="J335" s="883"/>
      <c r="K335" s="883"/>
      <c r="L335" s="870"/>
      <c r="O335" s="13"/>
      <c r="P335" s="13"/>
    </row>
    <row r="336" spans="1:16" s="3" customFormat="1" x14ac:dyDescent="0.25">
      <c r="A336" s="15"/>
      <c r="B336" s="650"/>
      <c r="C336" s="651"/>
      <c r="D336" s="883"/>
      <c r="E336" s="883"/>
      <c r="F336" s="883"/>
      <c r="G336" s="883"/>
      <c r="H336" s="883"/>
      <c r="I336" s="883"/>
      <c r="J336" s="883"/>
      <c r="K336" s="883"/>
      <c r="L336" s="870"/>
      <c r="M336" s="182"/>
      <c r="O336" s="176"/>
      <c r="P336" s="176"/>
    </row>
    <row r="337" spans="1:16" s="3" customFormat="1" x14ac:dyDescent="0.25">
      <c r="A337" s="15"/>
      <c r="B337" s="650"/>
      <c r="C337" s="651"/>
      <c r="D337" s="883"/>
      <c r="E337" s="883"/>
      <c r="F337" s="883"/>
      <c r="G337" s="883"/>
      <c r="H337" s="883"/>
      <c r="I337" s="883"/>
      <c r="J337" s="883"/>
      <c r="K337" s="883"/>
      <c r="L337" s="870"/>
      <c r="M337" s="182"/>
      <c r="O337" s="176"/>
      <c r="P337" s="176"/>
    </row>
    <row r="338" spans="1:16" s="3" customFormat="1" x14ac:dyDescent="0.25">
      <c r="A338" s="15"/>
      <c r="B338" s="650"/>
      <c r="C338" s="651"/>
      <c r="D338" s="883"/>
      <c r="E338" s="883"/>
      <c r="F338" s="883"/>
      <c r="G338" s="883"/>
      <c r="H338" s="883"/>
      <c r="I338" s="883"/>
      <c r="J338" s="883"/>
      <c r="K338" s="883"/>
      <c r="L338" s="870"/>
      <c r="M338" s="182"/>
      <c r="O338" s="176"/>
      <c r="P338" s="176"/>
    </row>
    <row r="339" spans="1:16" s="3" customFormat="1" x14ac:dyDescent="0.25">
      <c r="A339" s="15"/>
      <c r="B339" s="650"/>
      <c r="C339" s="651"/>
      <c r="D339" s="883"/>
      <c r="E339" s="883"/>
      <c r="F339" s="883"/>
      <c r="G339" s="883"/>
      <c r="H339" s="883"/>
      <c r="I339" s="883"/>
      <c r="J339" s="883"/>
      <c r="K339" s="883"/>
      <c r="L339" s="870"/>
      <c r="M339" s="182"/>
      <c r="O339" s="176"/>
      <c r="P339" s="176"/>
    </row>
    <row r="340" spans="1:16" s="157" customFormat="1" x14ac:dyDescent="0.25">
      <c r="A340" s="200"/>
      <c r="B340" s="650"/>
      <c r="C340" s="651"/>
      <c r="D340" s="883"/>
      <c r="E340" s="883"/>
      <c r="F340" s="883"/>
      <c r="G340" s="883"/>
      <c r="H340" s="883"/>
      <c r="I340" s="883"/>
      <c r="J340" s="883"/>
      <c r="K340" s="883"/>
      <c r="L340" s="870"/>
      <c r="O340" s="13"/>
      <c r="P340" s="13"/>
    </row>
    <row r="341" spans="1:16" s="157" customFormat="1" x14ac:dyDescent="0.25">
      <c r="A341" s="200"/>
      <c r="B341" s="650"/>
      <c r="C341" s="651"/>
      <c r="D341" s="883"/>
      <c r="E341" s="883"/>
      <c r="F341" s="883"/>
      <c r="G341" s="883"/>
      <c r="H341" s="883"/>
      <c r="I341" s="883"/>
      <c r="J341" s="883"/>
      <c r="K341" s="883"/>
      <c r="L341" s="870"/>
      <c r="O341" s="13"/>
      <c r="P341" s="13"/>
    </row>
    <row r="342" spans="1:16" s="157" customFormat="1" x14ac:dyDescent="0.25">
      <c r="A342" s="200"/>
      <c r="B342" s="650"/>
      <c r="C342" s="651"/>
      <c r="D342" s="883"/>
      <c r="E342" s="883"/>
      <c r="F342" s="883"/>
      <c r="G342" s="883"/>
      <c r="H342" s="883"/>
      <c r="I342" s="883"/>
      <c r="J342" s="883"/>
      <c r="K342" s="883"/>
      <c r="L342" s="870"/>
      <c r="O342" s="13"/>
      <c r="P342" s="13"/>
    </row>
    <row r="343" spans="1:16" s="157" customFormat="1" x14ac:dyDescent="0.25">
      <c r="A343" s="200"/>
      <c r="B343" s="650"/>
      <c r="C343" s="651"/>
      <c r="D343" s="883"/>
      <c r="E343" s="883"/>
      <c r="F343" s="883"/>
      <c r="G343" s="883"/>
      <c r="H343" s="883"/>
      <c r="I343" s="883"/>
      <c r="J343" s="883"/>
      <c r="K343" s="883"/>
      <c r="L343" s="870"/>
      <c r="O343" s="13"/>
      <c r="P343" s="13"/>
    </row>
    <row r="344" spans="1:16" s="157" customFormat="1" x14ac:dyDescent="0.25">
      <c r="A344" s="200"/>
      <c r="B344" s="650" t="str">
        <f>IF(Intro!$G$21="English",O344,P344)</f>
        <v>Salaires</v>
      </c>
      <c r="C344" s="651"/>
      <c r="D344" s="883"/>
      <c r="E344" s="883"/>
      <c r="F344" s="883"/>
      <c r="G344" s="883"/>
      <c r="H344" s="883"/>
      <c r="I344" s="883"/>
      <c r="J344" s="883"/>
      <c r="K344" s="883"/>
      <c r="L344" s="870"/>
      <c r="O344" s="13" t="s">
        <v>86</v>
      </c>
      <c r="P344" s="13" t="s">
        <v>87</v>
      </c>
    </row>
    <row r="345" spans="1:16" s="157" customFormat="1" x14ac:dyDescent="0.25">
      <c r="A345" s="200"/>
      <c r="B345" s="650"/>
      <c r="C345" s="651"/>
      <c r="D345" s="883"/>
      <c r="E345" s="883"/>
      <c r="F345" s="883"/>
      <c r="G345" s="883"/>
      <c r="H345" s="883"/>
      <c r="I345" s="883"/>
      <c r="J345" s="883"/>
      <c r="K345" s="883"/>
      <c r="L345" s="870"/>
      <c r="O345" s="13"/>
      <c r="P345" s="13"/>
    </row>
    <row r="346" spans="1:16" s="3" customFormat="1" x14ac:dyDescent="0.25">
      <c r="A346" s="15"/>
      <c r="B346" s="650"/>
      <c r="C346" s="651"/>
      <c r="D346" s="883"/>
      <c r="E346" s="883"/>
      <c r="F346" s="883"/>
      <c r="G346" s="883"/>
      <c r="H346" s="883"/>
      <c r="I346" s="883"/>
      <c r="J346" s="883"/>
      <c r="K346" s="883"/>
      <c r="L346" s="870"/>
      <c r="M346" s="182"/>
      <c r="O346" s="176"/>
      <c r="P346" s="176"/>
    </row>
    <row r="347" spans="1:16" s="3" customFormat="1" x14ac:dyDescent="0.25">
      <c r="A347" s="15"/>
      <c r="B347" s="650"/>
      <c r="C347" s="651"/>
      <c r="D347" s="883"/>
      <c r="E347" s="883"/>
      <c r="F347" s="883"/>
      <c r="G347" s="883"/>
      <c r="H347" s="883"/>
      <c r="I347" s="883"/>
      <c r="J347" s="883"/>
      <c r="K347" s="883"/>
      <c r="L347" s="870"/>
      <c r="M347" s="182"/>
      <c r="O347" s="176"/>
      <c r="P347" s="176"/>
    </row>
    <row r="348" spans="1:16" s="3" customFormat="1" x14ac:dyDescent="0.25">
      <c r="A348" s="15"/>
      <c r="B348" s="650"/>
      <c r="C348" s="651"/>
      <c r="D348" s="883"/>
      <c r="E348" s="883"/>
      <c r="F348" s="883"/>
      <c r="G348" s="883"/>
      <c r="H348" s="883"/>
      <c r="I348" s="883"/>
      <c r="J348" s="883"/>
      <c r="K348" s="883"/>
      <c r="L348" s="870"/>
      <c r="M348" s="182"/>
      <c r="O348" s="176"/>
      <c r="P348" s="176"/>
    </row>
    <row r="349" spans="1:16" s="3" customFormat="1" x14ac:dyDescent="0.25">
      <c r="A349" s="15"/>
      <c r="B349" s="650"/>
      <c r="C349" s="651"/>
      <c r="D349" s="883"/>
      <c r="E349" s="883"/>
      <c r="F349" s="883"/>
      <c r="G349" s="883"/>
      <c r="H349" s="883"/>
      <c r="I349" s="883"/>
      <c r="J349" s="883"/>
      <c r="K349" s="883"/>
      <c r="L349" s="870"/>
      <c r="M349" s="182"/>
      <c r="O349" s="176"/>
      <c r="P349" s="176"/>
    </row>
    <row r="350" spans="1:16" s="157" customFormat="1" x14ac:dyDescent="0.25">
      <c r="A350" s="200"/>
      <c r="B350" s="650"/>
      <c r="C350" s="651"/>
      <c r="D350" s="883"/>
      <c r="E350" s="883"/>
      <c r="F350" s="883"/>
      <c r="G350" s="883"/>
      <c r="H350" s="883"/>
      <c r="I350" s="883"/>
      <c r="J350" s="883"/>
      <c r="K350" s="883"/>
      <c r="L350" s="870"/>
      <c r="O350" s="13"/>
      <c r="P350" s="13"/>
    </row>
    <row r="351" spans="1:16" s="157" customFormat="1" x14ac:dyDescent="0.25">
      <c r="A351" s="200"/>
      <c r="B351" s="650"/>
      <c r="C351" s="651"/>
      <c r="D351" s="883"/>
      <c r="E351" s="883"/>
      <c r="F351" s="883"/>
      <c r="G351" s="883"/>
      <c r="H351" s="883"/>
      <c r="I351" s="883"/>
      <c r="J351" s="883"/>
      <c r="K351" s="883"/>
      <c r="L351" s="870"/>
      <c r="O351" s="13"/>
      <c r="P351" s="13"/>
    </row>
    <row r="352" spans="1:16" s="157" customFormat="1" x14ac:dyDescent="0.25">
      <c r="A352" s="200"/>
      <c r="B352" s="650"/>
      <c r="C352" s="651"/>
      <c r="D352" s="883"/>
      <c r="E352" s="883"/>
      <c r="F352" s="883"/>
      <c r="G352" s="883"/>
      <c r="H352" s="883"/>
      <c r="I352" s="883"/>
      <c r="J352" s="883"/>
      <c r="K352" s="883"/>
      <c r="L352" s="870"/>
      <c r="O352" s="13"/>
      <c r="P352" s="13"/>
    </row>
    <row r="353" spans="1:16" s="157" customFormat="1" x14ac:dyDescent="0.25">
      <c r="A353" s="200"/>
      <c r="B353" s="881"/>
      <c r="C353" s="882"/>
      <c r="D353" s="884"/>
      <c r="E353" s="884"/>
      <c r="F353" s="884"/>
      <c r="G353" s="884"/>
      <c r="H353" s="884"/>
      <c r="I353" s="884"/>
      <c r="J353" s="884"/>
      <c r="K353" s="884"/>
      <c r="L353" s="885"/>
      <c r="O353" s="13"/>
      <c r="P353" s="13"/>
    </row>
    <row r="354" spans="1:16" s="183" customFormat="1" x14ac:dyDescent="0.25">
      <c r="A354" s="212"/>
      <c r="B354" s="213"/>
      <c r="C354" s="213"/>
      <c r="D354" s="214"/>
      <c r="E354" s="214"/>
      <c r="F354" s="214"/>
      <c r="G354" s="214"/>
      <c r="H354" s="214"/>
      <c r="I354" s="214"/>
      <c r="J354" s="214"/>
      <c r="K354" s="214"/>
      <c r="L354" s="214"/>
      <c r="N354" s="215"/>
    </row>
    <row r="355" spans="1:16" s="183" customFormat="1" x14ac:dyDescent="0.25">
      <c r="A355" s="212"/>
      <c r="B355" s="213"/>
      <c r="C355" s="213"/>
      <c r="D355" s="214"/>
      <c r="E355" s="214"/>
      <c r="F355" s="214"/>
      <c r="G355" s="214"/>
      <c r="H355" s="214"/>
      <c r="I355" s="214"/>
      <c r="J355" s="214"/>
      <c r="K355" s="214"/>
      <c r="L355" s="214"/>
      <c r="N355" s="215"/>
    </row>
    <row r="356" spans="1:16" s="183" customFormat="1" x14ac:dyDescent="0.25">
      <c r="A356" s="212"/>
      <c r="B356" s="213"/>
      <c r="C356" s="213"/>
      <c r="D356" s="214"/>
      <c r="E356" s="214"/>
      <c r="F356" s="214"/>
      <c r="G356" s="214"/>
      <c r="H356" s="214"/>
      <c r="I356" s="214"/>
      <c r="J356" s="214"/>
      <c r="K356" s="214"/>
      <c r="L356" s="214"/>
      <c r="N356" s="215"/>
    </row>
  </sheetData>
  <sheetProtection algorithmName="SHA-512" hashValue="56xjvFeNerIlr9EvVo+GnnUQO0mj7+1MRHKZX/9lCYJWyMmMAwEd8ebEjzuqqusrpgYEOmoSBWy/uCMFP4q7Eg==" saltValue="qoqiqpqIhVclpGif5CfnxQ==" spinCount="100000" sheet="1" objects="1" scenarios="1" selectLockedCells="1"/>
  <mergeCells count="224">
    <mergeCell ref="B123:F123"/>
    <mergeCell ref="B124:F124"/>
    <mergeCell ref="B125:F125"/>
    <mergeCell ref="B126:F126"/>
    <mergeCell ref="B132:L134"/>
    <mergeCell ref="B128:F128"/>
    <mergeCell ref="G178:L187"/>
    <mergeCell ref="E136:F137"/>
    <mergeCell ref="E148:F157"/>
    <mergeCell ref="E158:F167"/>
    <mergeCell ref="E168:F177"/>
    <mergeCell ref="E178:F187"/>
    <mergeCell ref="C178:C187"/>
    <mergeCell ref="B168:B177"/>
    <mergeCell ref="C168:C177"/>
    <mergeCell ref="D168:D177"/>
    <mergeCell ref="B127:F127"/>
    <mergeCell ref="G136:L137"/>
    <mergeCell ref="G138:L147"/>
    <mergeCell ref="G148:L157"/>
    <mergeCell ref="G158:L167"/>
    <mergeCell ref="B136:B137"/>
    <mergeCell ref="B178:B187"/>
    <mergeCell ref="B85:L92"/>
    <mergeCell ref="B82:L83"/>
    <mergeCell ref="B96:L97"/>
    <mergeCell ref="B50:F50"/>
    <mergeCell ref="K121:K122"/>
    <mergeCell ref="L121:L122"/>
    <mergeCell ref="B116:F116"/>
    <mergeCell ref="B117:F117"/>
    <mergeCell ref="I121:I122"/>
    <mergeCell ref="B71:L78"/>
    <mergeCell ref="B52:F52"/>
    <mergeCell ref="B53:F53"/>
    <mergeCell ref="B57:F57"/>
    <mergeCell ref="B58:F58"/>
    <mergeCell ref="B64:F64"/>
    <mergeCell ref="B65:F65"/>
    <mergeCell ref="B59:F59"/>
    <mergeCell ref="B60:F60"/>
    <mergeCell ref="B61:F61"/>
    <mergeCell ref="B62:F62"/>
    <mergeCell ref="B63:F63"/>
    <mergeCell ref="B51:F51"/>
    <mergeCell ref="B106:G107"/>
    <mergeCell ref="H106:H107"/>
    <mergeCell ref="B114:F114"/>
    <mergeCell ref="B115:F115"/>
    <mergeCell ref="B119:L120"/>
    <mergeCell ref="J121:J122"/>
    <mergeCell ref="B190:L190"/>
    <mergeCell ref="B217:E217"/>
    <mergeCell ref="B218:E218"/>
    <mergeCell ref="B199:E199"/>
    <mergeCell ref="B200:E200"/>
    <mergeCell ref="B201:E201"/>
    <mergeCell ref="B202:E202"/>
    <mergeCell ref="B203:E203"/>
    <mergeCell ref="B204:E204"/>
    <mergeCell ref="B205:E205"/>
    <mergeCell ref="B206:E206"/>
    <mergeCell ref="B207:E207"/>
    <mergeCell ref="B210:F212"/>
    <mergeCell ref="H210:H212"/>
    <mergeCell ref="I210:I212"/>
    <mergeCell ref="J210:J212"/>
    <mergeCell ref="E138:F147"/>
    <mergeCell ref="C158:C167"/>
    <mergeCell ref="D178:D187"/>
    <mergeCell ref="D158:D167"/>
    <mergeCell ref="B4:L4"/>
    <mergeCell ref="B5:L5"/>
    <mergeCell ref="B6:L6"/>
    <mergeCell ref="B8:L8"/>
    <mergeCell ref="B9:L9"/>
    <mergeCell ref="B10:L10"/>
    <mergeCell ref="B12:L12"/>
    <mergeCell ref="B69:L69"/>
    <mergeCell ref="B29:E29"/>
    <mergeCell ref="B30:E30"/>
    <mergeCell ref="B45:F45"/>
    <mergeCell ref="B46:F46"/>
    <mergeCell ref="B13:L13"/>
    <mergeCell ref="B14:L14"/>
    <mergeCell ref="B24:E24"/>
    <mergeCell ref="B25:E25"/>
    <mergeCell ref="B26:E26"/>
    <mergeCell ref="B27:E27"/>
    <mergeCell ref="B28:E28"/>
    <mergeCell ref="B47:F47"/>
    <mergeCell ref="B48:F48"/>
    <mergeCell ref="B49:F49"/>
    <mergeCell ref="B16:L16"/>
    <mergeCell ref="B38:L38"/>
    <mergeCell ref="B41:L41"/>
    <mergeCell ref="B110:F110"/>
    <mergeCell ref="B19:L20"/>
    <mergeCell ref="G22:G23"/>
    <mergeCell ref="H22:H23"/>
    <mergeCell ref="I22:I23"/>
    <mergeCell ref="J22:J23"/>
    <mergeCell ref="K22:K23"/>
    <mergeCell ref="B34:L35"/>
    <mergeCell ref="B43:G44"/>
    <mergeCell ref="H43:H44"/>
    <mergeCell ref="I43:I44"/>
    <mergeCell ref="J43:J44"/>
    <mergeCell ref="B98:L98"/>
    <mergeCell ref="K43:K44"/>
    <mergeCell ref="L43:L44"/>
    <mergeCell ref="B55:G56"/>
    <mergeCell ref="H55:H56"/>
    <mergeCell ref="B108:F108"/>
    <mergeCell ref="B109:F109"/>
    <mergeCell ref="I55:I56"/>
    <mergeCell ref="J55:J56"/>
    <mergeCell ref="K55:K56"/>
    <mergeCell ref="L55:L56"/>
    <mergeCell ref="I106:I107"/>
    <mergeCell ref="J106:J107"/>
    <mergeCell ref="K106:K107"/>
    <mergeCell ref="L106:L107"/>
    <mergeCell ref="B100:G101"/>
    <mergeCell ref="H100:H101"/>
    <mergeCell ref="I100:I101"/>
    <mergeCell ref="J100:J101"/>
    <mergeCell ref="K100:K101"/>
    <mergeCell ref="L100:L101"/>
    <mergeCell ref="B104:F104"/>
    <mergeCell ref="B102:F102"/>
    <mergeCell ref="B103:F103"/>
    <mergeCell ref="B112:G113"/>
    <mergeCell ref="H112:H113"/>
    <mergeCell ref="I112:I113"/>
    <mergeCell ref="J112:J113"/>
    <mergeCell ref="K112:K113"/>
    <mergeCell ref="L112:L113"/>
    <mergeCell ref="H121:H122"/>
    <mergeCell ref="J234:J235"/>
    <mergeCell ref="C136:C137"/>
    <mergeCell ref="D136:D137"/>
    <mergeCell ref="B193:L194"/>
    <mergeCell ref="B196:F198"/>
    <mergeCell ref="G196:G198"/>
    <mergeCell ref="H196:H198"/>
    <mergeCell ref="I196:I198"/>
    <mergeCell ref="J196:J198"/>
    <mergeCell ref="K196:K198"/>
    <mergeCell ref="D138:D147"/>
    <mergeCell ref="C138:C147"/>
    <mergeCell ref="B138:B147"/>
    <mergeCell ref="B148:B157"/>
    <mergeCell ref="C148:C157"/>
    <mergeCell ref="D148:D157"/>
    <mergeCell ref="B158:B167"/>
    <mergeCell ref="K234:K235"/>
    <mergeCell ref="B239:L245"/>
    <mergeCell ref="B237:E237"/>
    <mergeCell ref="B229:E229"/>
    <mergeCell ref="B208:E208"/>
    <mergeCell ref="B213:E213"/>
    <mergeCell ref="K227:K228"/>
    <mergeCell ref="B221:E221"/>
    <mergeCell ref="G250:G251"/>
    <mergeCell ref="H250:H251"/>
    <mergeCell ref="I250:I251"/>
    <mergeCell ref="B220:E220"/>
    <mergeCell ref="G210:G212"/>
    <mergeCell ref="G234:G235"/>
    <mergeCell ref="H234:H235"/>
    <mergeCell ref="I234:I235"/>
    <mergeCell ref="B214:E214"/>
    <mergeCell ref="B215:E215"/>
    <mergeCell ref="B216:E216"/>
    <mergeCell ref="B219:E219"/>
    <mergeCell ref="B344:C353"/>
    <mergeCell ref="D344:L353"/>
    <mergeCell ref="B301:L301"/>
    <mergeCell ref="B322:L322"/>
    <mergeCell ref="B304:C304"/>
    <mergeCell ref="B298:L298"/>
    <mergeCell ref="J250:J251"/>
    <mergeCell ref="B285:L286"/>
    <mergeCell ref="B288:L295"/>
    <mergeCell ref="B311:L318"/>
    <mergeCell ref="B308:L309"/>
    <mergeCell ref="B324:C333"/>
    <mergeCell ref="D324:L333"/>
    <mergeCell ref="B334:C343"/>
    <mergeCell ref="D334:L343"/>
    <mergeCell ref="K250:K251"/>
    <mergeCell ref="D258:L265"/>
    <mergeCell ref="B258:C265"/>
    <mergeCell ref="B266:C273"/>
    <mergeCell ref="D266:L273"/>
    <mergeCell ref="B252:E252"/>
    <mergeCell ref="D274:L281"/>
    <mergeCell ref="B256:L256"/>
    <mergeCell ref="B274:C281"/>
    <mergeCell ref="B254:L254"/>
    <mergeCell ref="B283:L283"/>
    <mergeCell ref="B299:L299"/>
    <mergeCell ref="B306:L306"/>
    <mergeCell ref="B320:L320"/>
    <mergeCell ref="B17:L17"/>
    <mergeCell ref="B32:L32"/>
    <mergeCell ref="B39:L39"/>
    <mergeCell ref="B67:L67"/>
    <mergeCell ref="B80:L80"/>
    <mergeCell ref="B94:L94"/>
    <mergeCell ref="B130:L130"/>
    <mergeCell ref="B191:L191"/>
    <mergeCell ref="B231:L232"/>
    <mergeCell ref="B247:L248"/>
    <mergeCell ref="K210:K212"/>
    <mergeCell ref="B224:L225"/>
    <mergeCell ref="G227:G228"/>
    <mergeCell ref="H227:H228"/>
    <mergeCell ref="I227:I228"/>
    <mergeCell ref="J227:J228"/>
    <mergeCell ref="B222:E222"/>
    <mergeCell ref="G168:L177"/>
    <mergeCell ref="B236:E236"/>
  </mergeCells>
  <phoneticPr fontId="18" type="noConversion"/>
  <conditionalFormatting sqref="G229:K229">
    <cfRule type="cellIs" dxfId="2" priority="6" operator="equal">
      <formula>"Error"</formula>
    </cfRule>
  </conditionalFormatting>
  <conditionalFormatting sqref="G236:K237">
    <cfRule type="cellIs" dxfId="1" priority="1" operator="equal">
      <formula>"Error"</formula>
    </cfRule>
  </conditionalFormatting>
  <conditionalFormatting sqref="G252:K252">
    <cfRule type="cellIs" dxfId="0" priority="3"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178:E178 C148:E148 C158:E158 G178 G148 G158 G168 C168:E168 D258:D260 D266 D274 D276:D277 D334 D344 D268:D269 D32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4:K30 H57:L65 H102:L104 H108:L110 H114:L117 H123:L128 G199:K208 E304:J304 G213:K222 H45:L53"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11 B85 B239 B288 B71" xr:uid="{5FC4152B-5ADE-4FEC-B03A-FB21EF47E33C}">
      <formula1>1000</formula1>
    </dataValidation>
  </dataValidations>
  <printOptions horizontalCentered="1"/>
  <pageMargins left="0.25" right="0.25" top="0.75" bottom="0.75" header="0.3" footer="0.3"/>
  <pageSetup scale="63" firstPageNumber="24" fitToHeight="0" orientation="portrait" r:id="rId1"/>
  <headerFooter>
    <oddFooter>&amp;L&amp;A</oddFooter>
  </headerFooter>
  <rowBreaks count="5" manualBreakCount="5">
    <brk id="66" min="1" max="11" man="1"/>
    <brk id="129" min="1" max="11" man="1"/>
    <brk id="189" min="1" max="11" man="1"/>
    <brk id="253" min="1" max="11" man="1"/>
    <brk id="31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4"/>
  <sheetViews>
    <sheetView showGridLines="0" zoomScaleNormal="100" zoomScaleSheetLayoutView="40" workbookViewId="0"/>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15.28515625" style="2" hidden="1" customWidth="1"/>
    <col min="16" max="16" width="8.7109375" style="2" hidden="1" customWidth="1"/>
    <col min="17" max="17" width="9.28515625" style="2" customWidth="1"/>
    <col min="18" max="16384" width="9.28515625" style="2"/>
  </cols>
  <sheetData>
    <row r="1" spans="1:16" x14ac:dyDescent="0.25">
      <c r="O1" s="3" t="s">
        <v>169</v>
      </c>
      <c r="P1" s="3" t="s">
        <v>170</v>
      </c>
    </row>
    <row r="2" spans="1:16" x14ac:dyDescent="0.25">
      <c r="B2" s="27" t="str">
        <f>'Pro 1'!B2</f>
        <v>PROTÉGÉ</v>
      </c>
      <c r="C2" s="27"/>
      <c r="O2" s="9"/>
      <c r="P2" s="9"/>
    </row>
    <row r="3" spans="1:16" x14ac:dyDescent="0.25">
      <c r="B3" s="28"/>
      <c r="C3" s="28"/>
      <c r="O3" s="9"/>
      <c r="P3" s="9"/>
    </row>
    <row r="4" spans="1:16" s="9" customFormat="1" x14ac:dyDescent="0.25">
      <c r="A4" s="20"/>
      <c r="B4" s="715" t="str">
        <f>Info!B4</f>
        <v>QUESTIONNAIRE À L’INTENTION DES PRODUCTEURS</v>
      </c>
      <c r="C4" s="715"/>
      <c r="D4" s="715"/>
      <c r="E4" s="715"/>
      <c r="F4" s="715"/>
      <c r="G4" s="715"/>
      <c r="H4" s="715"/>
      <c r="I4" s="715"/>
      <c r="J4" s="715"/>
      <c r="K4" s="715"/>
      <c r="L4" s="715"/>
      <c r="M4" s="21"/>
      <c r="N4" s="21"/>
      <c r="O4" s="17"/>
      <c r="P4" s="17"/>
    </row>
    <row r="5" spans="1:16" s="9" customFormat="1" x14ac:dyDescent="0.25">
      <c r="A5" s="20"/>
      <c r="B5" s="715" t="str">
        <f>Info!B5</f>
        <v>NQ-2025-008</v>
      </c>
      <c r="C5" s="715"/>
      <c r="D5" s="715"/>
      <c r="E5" s="715"/>
      <c r="F5" s="715"/>
      <c r="G5" s="715"/>
      <c r="H5" s="715"/>
      <c r="I5" s="715"/>
      <c r="J5" s="715"/>
      <c r="K5" s="715"/>
      <c r="L5" s="715"/>
      <c r="M5" s="21"/>
      <c r="N5" s="21"/>
      <c r="O5" s="17"/>
      <c r="P5" s="17"/>
    </row>
    <row r="6" spans="1:16" s="18" customFormat="1" x14ac:dyDescent="0.25">
      <c r="A6" s="20"/>
      <c r="B6" s="715" t="str">
        <f>Info!B6</f>
        <v>VAISSELLE EN FIBRE MOULÉE THERMOFORMÉE</v>
      </c>
      <c r="C6" s="715"/>
      <c r="D6" s="715"/>
      <c r="E6" s="715"/>
      <c r="F6" s="715"/>
      <c r="G6" s="715"/>
      <c r="H6" s="715"/>
      <c r="I6" s="715"/>
      <c r="J6" s="715"/>
      <c r="K6" s="715"/>
      <c r="L6" s="715"/>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792" t="str">
        <f>Public!B8</f>
        <v>Les questions suivantes font référence aux marchandises comme définies dans la description du produit de l'onglet Intro.</v>
      </c>
      <c r="C8" s="792"/>
      <c r="D8" s="792"/>
      <c r="E8" s="792"/>
      <c r="F8" s="792"/>
      <c r="G8" s="792"/>
      <c r="H8" s="792"/>
      <c r="I8" s="792"/>
      <c r="J8" s="792"/>
      <c r="K8" s="792"/>
      <c r="L8" s="792"/>
      <c r="M8" s="17"/>
      <c r="N8" s="17"/>
      <c r="O8" s="19"/>
      <c r="P8" s="19"/>
    </row>
    <row r="9" spans="1:16" s="18" customFormat="1" x14ac:dyDescent="0.25">
      <c r="A9" s="20"/>
      <c r="B9" s="792" t="str">
        <f>Public!B9</f>
        <v>Des informations sur le produit et un glossaire de termes sont disponibles dans l'onglet Info.</v>
      </c>
      <c r="C9" s="792"/>
      <c r="D9" s="792"/>
      <c r="E9" s="792"/>
      <c r="F9" s="792"/>
      <c r="G9" s="792"/>
      <c r="H9" s="792"/>
      <c r="I9" s="792"/>
      <c r="J9" s="792"/>
      <c r="K9" s="792"/>
      <c r="L9" s="792"/>
      <c r="M9" s="17"/>
      <c r="N9" s="17"/>
      <c r="O9" s="19"/>
    </row>
    <row r="10" spans="1:16" s="18" customFormat="1" x14ac:dyDescent="0.25">
      <c r="A10" s="20"/>
      <c r="B10" s="792" t="str">
        <f>'Pro 1'!B10</f>
        <v xml:space="preserve">Utilisez l'onglet AddPro si vous avez besoin de plus d'espace.
</v>
      </c>
      <c r="C10" s="792"/>
      <c r="D10" s="792"/>
      <c r="E10" s="792"/>
      <c r="F10" s="792"/>
      <c r="G10" s="792"/>
      <c r="H10" s="792"/>
      <c r="I10" s="792"/>
      <c r="J10" s="792"/>
      <c r="K10" s="792"/>
      <c r="L10" s="792"/>
      <c r="M10" s="17"/>
      <c r="N10" s="17"/>
      <c r="O10" s="19"/>
      <c r="P10" s="19"/>
    </row>
    <row r="11" spans="1:16" s="10" customFormat="1" x14ac:dyDescent="0.25">
      <c r="A11" s="20"/>
      <c r="B11" s="29"/>
      <c r="C11" s="29"/>
      <c r="D11" s="30"/>
      <c r="E11" s="30"/>
      <c r="F11" s="30"/>
      <c r="G11" s="30"/>
      <c r="H11" s="30"/>
      <c r="I11" s="30"/>
      <c r="J11" s="30"/>
      <c r="K11" s="30"/>
      <c r="L11" s="30"/>
      <c r="O11" s="11"/>
      <c r="P11" s="11"/>
    </row>
    <row r="12" spans="1:16" x14ac:dyDescent="0.25">
      <c r="B12" s="678" t="str">
        <f>IF(Intro!$G$21="English",O12,P12)</f>
        <v>EFFETS NÉGATIFS DES IMPORTATIONS</v>
      </c>
      <c r="C12" s="679"/>
      <c r="D12" s="679"/>
      <c r="E12" s="679"/>
      <c r="F12" s="679"/>
      <c r="G12" s="679"/>
      <c r="H12" s="679"/>
      <c r="I12" s="679"/>
      <c r="J12" s="679"/>
      <c r="K12" s="679"/>
      <c r="L12" s="680"/>
      <c r="M12" s="157"/>
      <c r="O12" s="156" t="s">
        <v>724</v>
      </c>
      <c r="P12" s="156" t="s">
        <v>725</v>
      </c>
    </row>
    <row r="13" spans="1:16" x14ac:dyDescent="0.25">
      <c r="B13" s="770" t="s">
        <v>20</v>
      </c>
      <c r="C13" s="771"/>
      <c r="D13" s="771"/>
      <c r="E13" s="771"/>
      <c r="F13" s="771"/>
      <c r="G13" s="771"/>
      <c r="H13" s="771"/>
      <c r="I13" s="771"/>
      <c r="J13" s="771"/>
      <c r="K13" s="771"/>
      <c r="L13" s="772"/>
      <c r="M13" s="2"/>
    </row>
    <row r="14" spans="1:16" s="157" customFormat="1" x14ac:dyDescent="0.25">
      <c r="A14" s="200"/>
      <c r="B14" s="201"/>
      <c r="C14" s="202"/>
      <c r="D14" s="202"/>
      <c r="E14" s="202"/>
      <c r="F14" s="202"/>
      <c r="G14" s="202"/>
      <c r="H14" s="202"/>
      <c r="I14" s="202"/>
      <c r="J14" s="202"/>
      <c r="K14" s="202"/>
      <c r="L14" s="203"/>
    </row>
    <row r="15" spans="1:16" s="157" customFormat="1" x14ac:dyDescent="0.25">
      <c r="A15" s="200"/>
      <c r="B15" s="672" t="str">
        <f>IF(Intro!$G$21="English",O15,P15)</f>
        <v>Identifiez et expliquez tout effet négatif à l'égard des facteurs suivants en raison de l'importation des marchandises en cause depuis le 1er janvier 2022. Fournissez des pièces justificatives dans la mesure du possible.</v>
      </c>
      <c r="C15" s="673"/>
      <c r="D15" s="673"/>
      <c r="E15" s="673"/>
      <c r="F15" s="673"/>
      <c r="G15" s="673"/>
      <c r="H15" s="673"/>
      <c r="I15" s="673"/>
      <c r="J15" s="673"/>
      <c r="K15" s="673"/>
      <c r="L15" s="674"/>
      <c r="O15" s="15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2022. Provide supporting documents to the extent available.</v>
      </c>
      <c r="P15" s="15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2022. Fournissez des pièces justificatives dans la mesure du possible.</v>
      </c>
    </row>
    <row r="16" spans="1:16" s="157" customFormat="1" x14ac:dyDescent="0.25">
      <c r="A16" s="200"/>
      <c r="B16" s="672"/>
      <c r="C16" s="673"/>
      <c r="D16" s="673"/>
      <c r="E16" s="673"/>
      <c r="F16" s="673"/>
      <c r="G16" s="673"/>
      <c r="H16" s="673"/>
      <c r="I16" s="673"/>
      <c r="J16" s="673"/>
      <c r="K16" s="673"/>
      <c r="L16" s="674"/>
      <c r="O16" s="156" t="s">
        <v>379</v>
      </c>
      <c r="P16" s="156" t="s">
        <v>723</v>
      </c>
    </row>
    <row r="17" spans="1:16" s="157" customFormat="1" x14ac:dyDescent="0.25">
      <c r="A17" s="200"/>
      <c r="B17" s="263"/>
      <c r="C17" s="323"/>
      <c r="D17" s="264"/>
      <c r="E17" s="264"/>
      <c r="F17" s="323"/>
      <c r="G17" s="323"/>
      <c r="H17" s="323"/>
      <c r="I17" s="323"/>
      <c r="J17" s="264"/>
      <c r="K17" s="264"/>
      <c r="L17" s="265"/>
    </row>
    <row r="18" spans="1:16" s="157" customFormat="1" x14ac:dyDescent="0.25">
      <c r="A18" s="200"/>
      <c r="B18" s="201"/>
      <c r="C18" s="202"/>
      <c r="D18" s="202"/>
      <c r="E18" s="202"/>
      <c r="F18" s="202"/>
      <c r="G18" s="202"/>
      <c r="H18" s="202"/>
      <c r="I18" s="202"/>
      <c r="J18" s="202"/>
      <c r="K18" s="202"/>
      <c r="L18" s="203"/>
    </row>
    <row r="19" spans="1:16" s="157" customFormat="1" x14ac:dyDescent="0.25">
      <c r="A19" s="200"/>
      <c r="B19" s="912" t="str">
        <f>IF(Intro!$G$21="English",O19,P19)</f>
        <v>Rendement du capital investi</v>
      </c>
      <c r="C19" s="913"/>
      <c r="D19" s="652"/>
      <c r="E19" s="652"/>
      <c r="F19" s="652"/>
      <c r="G19" s="652"/>
      <c r="H19" s="652"/>
      <c r="I19" s="652"/>
      <c r="J19" s="652"/>
      <c r="K19" s="652"/>
      <c r="L19" s="653"/>
      <c r="O19" s="13" t="s">
        <v>88</v>
      </c>
      <c r="P19" s="157" t="s">
        <v>89</v>
      </c>
    </row>
    <row r="20" spans="1:16" s="157" customFormat="1" x14ac:dyDescent="0.25">
      <c r="A20" s="200"/>
      <c r="B20" s="914"/>
      <c r="C20" s="915"/>
      <c r="D20" s="652"/>
      <c r="E20" s="652"/>
      <c r="F20" s="652"/>
      <c r="G20" s="652"/>
      <c r="H20" s="652"/>
      <c r="I20" s="652"/>
      <c r="J20" s="652"/>
      <c r="K20" s="652"/>
      <c r="L20" s="653"/>
      <c r="O20" s="13"/>
    </row>
    <row r="21" spans="1:16" s="157" customFormat="1" x14ac:dyDescent="0.25">
      <c r="A21" s="200"/>
      <c r="B21" s="914"/>
      <c r="C21" s="915"/>
      <c r="D21" s="652"/>
      <c r="E21" s="652"/>
      <c r="F21" s="652"/>
      <c r="G21" s="652"/>
      <c r="H21" s="652"/>
      <c r="I21" s="652"/>
      <c r="J21" s="652"/>
      <c r="K21" s="652"/>
      <c r="L21" s="653"/>
      <c r="O21" s="13"/>
    </row>
    <row r="22" spans="1:16" s="157" customFormat="1" x14ac:dyDescent="0.25">
      <c r="A22" s="200"/>
      <c r="B22" s="910" t="str">
        <f>IF(Intro!$G$21="English",$O$16,$P$16)</f>
        <v>Sélectionnez oui ou non</v>
      </c>
      <c r="C22" s="911"/>
      <c r="D22" s="652"/>
      <c r="E22" s="652"/>
      <c r="F22" s="652"/>
      <c r="G22" s="652"/>
      <c r="H22" s="652"/>
      <c r="I22" s="652"/>
      <c r="J22" s="652"/>
      <c r="K22" s="652"/>
      <c r="L22" s="653"/>
      <c r="O22" s="13"/>
    </row>
    <row r="23" spans="1:16" s="157" customFormat="1" x14ac:dyDescent="0.25">
      <c r="A23" s="200"/>
      <c r="B23" s="916"/>
      <c r="C23" s="917"/>
      <c r="D23" s="652"/>
      <c r="E23" s="652"/>
      <c r="F23" s="652"/>
      <c r="G23" s="652"/>
      <c r="H23" s="652"/>
      <c r="I23" s="652"/>
      <c r="J23" s="652"/>
      <c r="K23" s="652"/>
      <c r="L23" s="653"/>
      <c r="O23" s="13"/>
    </row>
    <row r="24" spans="1:16" s="157" customFormat="1" x14ac:dyDescent="0.25">
      <c r="A24" s="200"/>
      <c r="B24" s="908"/>
      <c r="C24" s="909"/>
      <c r="D24" s="652"/>
      <c r="E24" s="652"/>
      <c r="F24" s="652"/>
      <c r="G24" s="652"/>
      <c r="H24" s="652"/>
      <c r="I24" s="652"/>
      <c r="J24" s="652"/>
      <c r="K24" s="652"/>
      <c r="L24" s="653"/>
      <c r="O24" s="13"/>
    </row>
    <row r="25" spans="1:16" s="157" customFormat="1" x14ac:dyDescent="0.25">
      <c r="A25" s="200"/>
      <c r="B25" s="918"/>
      <c r="C25" s="919"/>
      <c r="D25" s="652"/>
      <c r="E25" s="652"/>
      <c r="F25" s="652"/>
      <c r="G25" s="652"/>
      <c r="H25" s="652"/>
      <c r="I25" s="652"/>
      <c r="J25" s="652"/>
      <c r="K25" s="652"/>
      <c r="L25" s="653"/>
      <c r="O25" s="13"/>
    </row>
    <row r="26" spans="1:16" s="157" customFormat="1" x14ac:dyDescent="0.25">
      <c r="A26" s="200"/>
      <c r="B26" s="918"/>
      <c r="C26" s="919"/>
      <c r="D26" s="652"/>
      <c r="E26" s="652"/>
      <c r="F26" s="652"/>
      <c r="G26" s="652"/>
      <c r="H26" s="652"/>
      <c r="I26" s="652"/>
      <c r="J26" s="652"/>
      <c r="K26" s="652"/>
      <c r="L26" s="653"/>
      <c r="O26" s="13"/>
    </row>
    <row r="27" spans="1:16" s="157" customFormat="1" x14ac:dyDescent="0.25">
      <c r="A27" s="200"/>
      <c r="B27" s="918"/>
      <c r="C27" s="919"/>
      <c r="D27" s="652"/>
      <c r="E27" s="652"/>
      <c r="F27" s="652"/>
      <c r="G27" s="652"/>
      <c r="H27" s="652"/>
      <c r="I27" s="652"/>
      <c r="J27" s="652"/>
      <c r="K27" s="652"/>
      <c r="L27" s="653"/>
      <c r="O27" s="13"/>
    </row>
    <row r="28" spans="1:16" s="157" customFormat="1" x14ac:dyDescent="0.25">
      <c r="A28" s="200"/>
      <c r="B28" s="910"/>
      <c r="C28" s="911"/>
      <c r="D28" s="652"/>
      <c r="E28" s="652"/>
      <c r="F28" s="652"/>
      <c r="G28" s="652"/>
      <c r="H28" s="652"/>
      <c r="I28" s="652"/>
      <c r="J28" s="652"/>
      <c r="K28" s="652"/>
      <c r="L28" s="653"/>
      <c r="O28" s="13"/>
    </row>
    <row r="29" spans="1:16" s="157" customFormat="1" x14ac:dyDescent="0.25">
      <c r="A29" s="200"/>
      <c r="B29" s="912" t="str">
        <f>IF(Intro!$G$21="English",O29,P29)</f>
        <v>Croissance</v>
      </c>
      <c r="C29" s="913"/>
      <c r="D29" s="652"/>
      <c r="E29" s="652"/>
      <c r="F29" s="652"/>
      <c r="G29" s="652"/>
      <c r="H29" s="652"/>
      <c r="I29" s="652"/>
      <c r="J29" s="652"/>
      <c r="K29" s="652"/>
      <c r="L29" s="653"/>
      <c r="O29" s="13" t="s">
        <v>90</v>
      </c>
      <c r="P29" s="13" t="s">
        <v>91</v>
      </c>
    </row>
    <row r="30" spans="1:16" s="157" customFormat="1" x14ac:dyDescent="0.25">
      <c r="A30" s="200"/>
      <c r="B30" s="914"/>
      <c r="C30" s="915"/>
      <c r="D30" s="652"/>
      <c r="E30" s="652"/>
      <c r="F30" s="652"/>
      <c r="G30" s="652"/>
      <c r="H30" s="652"/>
      <c r="I30" s="652"/>
      <c r="J30" s="652"/>
      <c r="K30" s="652"/>
      <c r="L30" s="653"/>
    </row>
    <row r="31" spans="1:16" s="157" customFormat="1" x14ac:dyDescent="0.25">
      <c r="A31" s="200"/>
      <c r="B31" s="914"/>
      <c r="C31" s="915"/>
      <c r="D31" s="652"/>
      <c r="E31" s="652"/>
      <c r="F31" s="652"/>
      <c r="G31" s="652"/>
      <c r="H31" s="652"/>
      <c r="I31" s="652"/>
      <c r="J31" s="652"/>
      <c r="K31" s="652"/>
      <c r="L31" s="653"/>
    </row>
    <row r="32" spans="1:16" s="157" customFormat="1" x14ac:dyDescent="0.25">
      <c r="A32" s="200"/>
      <c r="B32" s="910" t="str">
        <f>IF(Intro!$G$21="English",$O$16,$P$16)</f>
        <v>Sélectionnez oui ou non</v>
      </c>
      <c r="C32" s="911"/>
      <c r="D32" s="652"/>
      <c r="E32" s="652"/>
      <c r="F32" s="652"/>
      <c r="G32" s="652"/>
      <c r="H32" s="652"/>
      <c r="I32" s="652"/>
      <c r="J32" s="652"/>
      <c r="K32" s="652"/>
      <c r="L32" s="653"/>
    </row>
    <row r="33" spans="1:16" s="157" customFormat="1" x14ac:dyDescent="0.25">
      <c r="A33" s="200"/>
      <c r="B33" s="916"/>
      <c r="C33" s="917"/>
      <c r="D33" s="652"/>
      <c r="E33" s="652"/>
      <c r="F33" s="652"/>
      <c r="G33" s="652"/>
      <c r="H33" s="652"/>
      <c r="I33" s="652"/>
      <c r="J33" s="652"/>
      <c r="K33" s="652"/>
      <c r="L33" s="653"/>
    </row>
    <row r="34" spans="1:16" s="157" customFormat="1" x14ac:dyDescent="0.25">
      <c r="A34" s="200"/>
      <c r="B34" s="908"/>
      <c r="C34" s="909"/>
      <c r="D34" s="652"/>
      <c r="E34" s="652"/>
      <c r="F34" s="652"/>
      <c r="G34" s="652"/>
      <c r="H34" s="652"/>
      <c r="I34" s="652"/>
      <c r="J34" s="652"/>
      <c r="K34" s="652"/>
      <c r="L34" s="653"/>
      <c r="O34" s="13"/>
    </row>
    <row r="35" spans="1:16" s="157" customFormat="1" x14ac:dyDescent="0.25">
      <c r="A35" s="200"/>
      <c r="B35" s="918"/>
      <c r="C35" s="919"/>
      <c r="D35" s="652"/>
      <c r="E35" s="652"/>
      <c r="F35" s="652"/>
      <c r="G35" s="652"/>
      <c r="H35" s="652"/>
      <c r="I35" s="652"/>
      <c r="J35" s="652"/>
      <c r="K35" s="652"/>
      <c r="L35" s="653"/>
      <c r="O35" s="13"/>
    </row>
    <row r="36" spans="1:16" s="157" customFormat="1" x14ac:dyDescent="0.25">
      <c r="A36" s="200"/>
      <c r="B36" s="918"/>
      <c r="C36" s="919"/>
      <c r="D36" s="652"/>
      <c r="E36" s="652"/>
      <c r="F36" s="652"/>
      <c r="G36" s="652"/>
      <c r="H36" s="652"/>
      <c r="I36" s="652"/>
      <c r="J36" s="652"/>
      <c r="K36" s="652"/>
      <c r="L36" s="653"/>
      <c r="O36" s="13"/>
    </row>
    <row r="37" spans="1:16" s="157" customFormat="1" x14ac:dyDescent="0.25">
      <c r="A37" s="200"/>
      <c r="B37" s="918"/>
      <c r="C37" s="919"/>
      <c r="D37" s="652"/>
      <c r="E37" s="652"/>
      <c r="F37" s="652"/>
      <c r="G37" s="652"/>
      <c r="H37" s="652"/>
      <c r="I37" s="652"/>
      <c r="J37" s="652"/>
      <c r="K37" s="652"/>
      <c r="L37" s="653"/>
      <c r="O37" s="13"/>
    </row>
    <row r="38" spans="1:16" s="157" customFormat="1" x14ac:dyDescent="0.25">
      <c r="A38" s="200"/>
      <c r="B38" s="910"/>
      <c r="C38" s="911"/>
      <c r="D38" s="652"/>
      <c r="E38" s="652"/>
      <c r="F38" s="652"/>
      <c r="G38" s="652"/>
      <c r="H38" s="652"/>
      <c r="I38" s="652"/>
      <c r="J38" s="652"/>
      <c r="K38" s="652"/>
      <c r="L38" s="653"/>
    </row>
    <row r="39" spans="1:16" s="157" customFormat="1" x14ac:dyDescent="0.25">
      <c r="A39" s="200"/>
      <c r="B39" s="912" t="str">
        <f>IF(Intro!$G$21="English",O39,P39)</f>
        <v>Capacité de réunir des capitaux</v>
      </c>
      <c r="C39" s="913"/>
      <c r="D39" s="652"/>
      <c r="E39" s="652"/>
      <c r="F39" s="652"/>
      <c r="G39" s="652"/>
      <c r="H39" s="652"/>
      <c r="I39" s="652"/>
      <c r="J39" s="652"/>
      <c r="K39" s="652"/>
      <c r="L39" s="653"/>
      <c r="O39" s="13" t="s">
        <v>92</v>
      </c>
      <c r="P39" s="13" t="s">
        <v>93</v>
      </c>
    </row>
    <row r="40" spans="1:16" s="157" customFormat="1" x14ac:dyDescent="0.25">
      <c r="A40" s="200"/>
      <c r="B40" s="914"/>
      <c r="C40" s="915"/>
      <c r="D40" s="652"/>
      <c r="E40" s="652"/>
      <c r="F40" s="652"/>
      <c r="G40" s="652"/>
      <c r="H40" s="652"/>
      <c r="I40" s="652"/>
      <c r="J40" s="652"/>
      <c r="K40" s="652"/>
      <c r="L40" s="653"/>
    </row>
    <row r="41" spans="1:16" s="157" customFormat="1" x14ac:dyDescent="0.25">
      <c r="A41" s="200"/>
      <c r="B41" s="914"/>
      <c r="C41" s="915"/>
      <c r="D41" s="652"/>
      <c r="E41" s="652"/>
      <c r="F41" s="652"/>
      <c r="G41" s="652"/>
      <c r="H41" s="652"/>
      <c r="I41" s="652"/>
      <c r="J41" s="652"/>
      <c r="K41" s="652"/>
      <c r="L41" s="653"/>
    </row>
    <row r="42" spans="1:16" s="157" customFormat="1" x14ac:dyDescent="0.25">
      <c r="A42" s="200"/>
      <c r="B42" s="910" t="str">
        <f>IF(Intro!$G$21="English",$O$16,$P$16)</f>
        <v>Sélectionnez oui ou non</v>
      </c>
      <c r="C42" s="911"/>
      <c r="D42" s="652"/>
      <c r="E42" s="652"/>
      <c r="F42" s="652"/>
      <c r="G42" s="652"/>
      <c r="H42" s="652"/>
      <c r="I42" s="652"/>
      <c r="J42" s="652"/>
      <c r="K42" s="652"/>
      <c r="L42" s="653"/>
    </row>
    <row r="43" spans="1:16" s="157" customFormat="1" x14ac:dyDescent="0.25">
      <c r="A43" s="200"/>
      <c r="B43" s="916"/>
      <c r="C43" s="917"/>
      <c r="D43" s="652"/>
      <c r="E43" s="652"/>
      <c r="F43" s="652"/>
      <c r="G43" s="652"/>
      <c r="H43" s="652"/>
      <c r="I43" s="652"/>
      <c r="J43" s="652"/>
      <c r="K43" s="652"/>
      <c r="L43" s="653"/>
      <c r="O43" s="13"/>
    </row>
    <row r="44" spans="1:16" s="157" customFormat="1" x14ac:dyDescent="0.25">
      <c r="A44" s="200"/>
      <c r="B44" s="908"/>
      <c r="C44" s="909"/>
      <c r="D44" s="652"/>
      <c r="E44" s="652"/>
      <c r="F44" s="652"/>
      <c r="G44" s="652"/>
      <c r="H44" s="652"/>
      <c r="I44" s="652"/>
      <c r="J44" s="652"/>
      <c r="K44" s="652"/>
      <c r="L44" s="653"/>
      <c r="O44" s="13"/>
    </row>
    <row r="45" spans="1:16" s="157" customFormat="1" x14ac:dyDescent="0.25">
      <c r="A45" s="200"/>
      <c r="B45" s="918"/>
      <c r="C45" s="919"/>
      <c r="D45" s="652"/>
      <c r="E45" s="652"/>
      <c r="F45" s="652"/>
      <c r="G45" s="652"/>
      <c r="H45" s="652"/>
      <c r="I45" s="652"/>
      <c r="J45" s="652"/>
      <c r="K45" s="652"/>
      <c r="L45" s="653"/>
      <c r="O45" s="13"/>
    </row>
    <row r="46" spans="1:16" s="157" customFormat="1" x14ac:dyDescent="0.25">
      <c r="A46" s="200"/>
      <c r="B46" s="918"/>
      <c r="C46" s="919"/>
      <c r="D46" s="652"/>
      <c r="E46" s="652"/>
      <c r="F46" s="652"/>
      <c r="G46" s="652"/>
      <c r="H46" s="652"/>
      <c r="I46" s="652"/>
      <c r="J46" s="652"/>
      <c r="K46" s="652"/>
      <c r="L46" s="653"/>
      <c r="O46" s="13"/>
    </row>
    <row r="47" spans="1:16" s="157" customFormat="1" x14ac:dyDescent="0.25">
      <c r="A47" s="200"/>
      <c r="B47" s="918"/>
      <c r="C47" s="919"/>
      <c r="D47" s="652"/>
      <c r="E47" s="652"/>
      <c r="F47" s="652"/>
      <c r="G47" s="652"/>
      <c r="H47" s="652"/>
      <c r="I47" s="652"/>
      <c r="J47" s="652"/>
      <c r="K47" s="652"/>
      <c r="L47" s="653"/>
      <c r="O47" s="13"/>
    </row>
    <row r="48" spans="1:16" s="157" customFormat="1" x14ac:dyDescent="0.25">
      <c r="A48" s="200"/>
      <c r="B48" s="910"/>
      <c r="C48" s="911"/>
      <c r="D48" s="652"/>
      <c r="E48" s="652"/>
      <c r="F48" s="652"/>
      <c r="G48" s="652"/>
      <c r="H48" s="652"/>
      <c r="I48" s="652"/>
      <c r="J48" s="652"/>
      <c r="K48" s="652"/>
      <c r="L48" s="653"/>
      <c r="O48" s="13"/>
    </row>
    <row r="49" spans="1:16" s="157" customFormat="1" x14ac:dyDescent="0.25">
      <c r="A49" s="200"/>
      <c r="B49" s="912" t="str">
        <f>IF(Intro!$G$21="English",O49,P49)</f>
        <v xml:space="preserve">Projets de développement de la production </v>
      </c>
      <c r="C49" s="913"/>
      <c r="D49" s="652"/>
      <c r="E49" s="652"/>
      <c r="F49" s="652"/>
      <c r="G49" s="652"/>
      <c r="H49" s="652"/>
      <c r="I49" s="652"/>
      <c r="J49" s="652"/>
      <c r="K49" s="652"/>
      <c r="L49" s="653"/>
      <c r="O49" s="13" t="s">
        <v>94</v>
      </c>
      <c r="P49" s="13" t="s">
        <v>95</v>
      </c>
    </row>
    <row r="50" spans="1:16" s="157" customFormat="1" x14ac:dyDescent="0.25">
      <c r="A50" s="200"/>
      <c r="B50" s="914"/>
      <c r="C50" s="915"/>
      <c r="D50" s="652"/>
      <c r="E50" s="652"/>
      <c r="F50" s="652"/>
      <c r="G50" s="652"/>
      <c r="H50" s="652"/>
      <c r="I50" s="652"/>
      <c r="J50" s="652"/>
      <c r="K50" s="652"/>
      <c r="L50" s="653"/>
      <c r="O50" s="13"/>
    </row>
    <row r="51" spans="1:16" s="157" customFormat="1" x14ac:dyDescent="0.25">
      <c r="A51" s="200"/>
      <c r="B51" s="914"/>
      <c r="C51" s="915"/>
      <c r="D51" s="652"/>
      <c r="E51" s="652"/>
      <c r="F51" s="652"/>
      <c r="G51" s="652"/>
      <c r="H51" s="652"/>
      <c r="I51" s="652"/>
      <c r="J51" s="652"/>
      <c r="K51" s="652"/>
      <c r="L51" s="653"/>
      <c r="O51" s="13"/>
    </row>
    <row r="52" spans="1:16" s="157" customFormat="1" x14ac:dyDescent="0.25">
      <c r="A52" s="200"/>
      <c r="B52" s="910" t="str">
        <f>IF(Intro!$G$21="English",$O$16,$P$16)</f>
        <v>Sélectionnez oui ou non</v>
      </c>
      <c r="C52" s="911"/>
      <c r="D52" s="652"/>
      <c r="E52" s="652"/>
      <c r="F52" s="652"/>
      <c r="G52" s="652"/>
      <c r="H52" s="652"/>
      <c r="I52" s="652"/>
      <c r="J52" s="652"/>
      <c r="K52" s="652"/>
      <c r="L52" s="653"/>
      <c r="O52" s="13"/>
    </row>
    <row r="53" spans="1:16" s="157" customFormat="1" x14ac:dyDescent="0.25">
      <c r="A53" s="200"/>
      <c r="B53" s="916"/>
      <c r="C53" s="917"/>
      <c r="D53" s="652"/>
      <c r="E53" s="652"/>
      <c r="F53" s="652"/>
      <c r="G53" s="652"/>
      <c r="H53" s="652"/>
      <c r="I53" s="652"/>
      <c r="J53" s="652"/>
      <c r="K53" s="652"/>
      <c r="L53" s="653"/>
      <c r="O53" s="13"/>
    </row>
    <row r="54" spans="1:16" s="157" customFormat="1" x14ac:dyDescent="0.25">
      <c r="A54" s="200"/>
      <c r="B54" s="908"/>
      <c r="C54" s="909"/>
      <c r="D54" s="652"/>
      <c r="E54" s="652"/>
      <c r="F54" s="652"/>
      <c r="G54" s="652"/>
      <c r="H54" s="652"/>
      <c r="I54" s="652"/>
      <c r="J54" s="652"/>
      <c r="K54" s="652"/>
      <c r="L54" s="653"/>
      <c r="O54" s="13"/>
    </row>
    <row r="55" spans="1:16" s="157" customFormat="1" x14ac:dyDescent="0.25">
      <c r="A55" s="200"/>
      <c r="B55" s="918"/>
      <c r="C55" s="919"/>
      <c r="D55" s="652"/>
      <c r="E55" s="652"/>
      <c r="F55" s="652"/>
      <c r="G55" s="652"/>
      <c r="H55" s="652"/>
      <c r="I55" s="652"/>
      <c r="J55" s="652"/>
      <c r="K55" s="652"/>
      <c r="L55" s="653"/>
      <c r="O55" s="13"/>
    </row>
    <row r="56" spans="1:16" s="157" customFormat="1" x14ac:dyDescent="0.25">
      <c r="A56" s="200"/>
      <c r="B56" s="918"/>
      <c r="C56" s="919"/>
      <c r="D56" s="652"/>
      <c r="E56" s="652"/>
      <c r="F56" s="652"/>
      <c r="G56" s="652"/>
      <c r="H56" s="652"/>
      <c r="I56" s="652"/>
      <c r="J56" s="652"/>
      <c r="K56" s="652"/>
      <c r="L56" s="653"/>
      <c r="O56" s="13"/>
    </row>
    <row r="57" spans="1:16" s="157" customFormat="1" x14ac:dyDescent="0.25">
      <c r="A57" s="200"/>
      <c r="B57" s="918"/>
      <c r="C57" s="919"/>
      <c r="D57" s="652"/>
      <c r="E57" s="652"/>
      <c r="F57" s="652"/>
      <c r="G57" s="652"/>
      <c r="H57" s="652"/>
      <c r="I57" s="652"/>
      <c r="J57" s="652"/>
      <c r="K57" s="652"/>
      <c r="L57" s="653"/>
      <c r="O57" s="13"/>
    </row>
    <row r="58" spans="1:16" s="157" customFormat="1" x14ac:dyDescent="0.25">
      <c r="A58" s="200"/>
      <c r="B58" s="910"/>
      <c r="C58" s="911"/>
      <c r="D58" s="652"/>
      <c r="E58" s="652"/>
      <c r="F58" s="652"/>
      <c r="G58" s="652"/>
      <c r="H58" s="652"/>
      <c r="I58" s="652"/>
      <c r="J58" s="652"/>
      <c r="K58" s="652"/>
      <c r="L58" s="653"/>
      <c r="O58" s="13"/>
    </row>
    <row r="59" spans="1:16" s="157" customFormat="1" x14ac:dyDescent="0.25">
      <c r="A59" s="200"/>
      <c r="B59" s="912" t="str">
        <f>IF(Intro!$G$21="English",O59,P59)</f>
        <v>Les niveaux d’emploi de votre entreprise</v>
      </c>
      <c r="C59" s="913"/>
      <c r="D59" s="652"/>
      <c r="E59" s="652"/>
      <c r="F59" s="652"/>
      <c r="G59" s="652"/>
      <c r="H59" s="652"/>
      <c r="I59" s="652"/>
      <c r="J59" s="652"/>
      <c r="K59" s="652"/>
      <c r="L59" s="653"/>
      <c r="O59" s="13" t="s">
        <v>313</v>
      </c>
      <c r="P59" s="13" t="s">
        <v>314</v>
      </c>
    </row>
    <row r="60" spans="1:16" s="157" customFormat="1" x14ac:dyDescent="0.25">
      <c r="A60" s="200"/>
      <c r="B60" s="914"/>
      <c r="C60" s="915"/>
      <c r="D60" s="652"/>
      <c r="E60" s="652"/>
      <c r="F60" s="652"/>
      <c r="G60" s="652"/>
      <c r="H60" s="652"/>
      <c r="I60" s="652"/>
      <c r="J60" s="652"/>
      <c r="K60" s="652"/>
      <c r="L60" s="653"/>
      <c r="O60" s="13"/>
    </row>
    <row r="61" spans="1:16" s="157" customFormat="1" x14ac:dyDescent="0.25">
      <c r="A61" s="200"/>
      <c r="B61" s="914"/>
      <c r="C61" s="915"/>
      <c r="D61" s="652"/>
      <c r="E61" s="652"/>
      <c r="F61" s="652"/>
      <c r="G61" s="652"/>
      <c r="H61" s="652"/>
      <c r="I61" s="652"/>
      <c r="J61" s="652"/>
      <c r="K61" s="652"/>
      <c r="L61" s="653"/>
      <c r="O61" s="13"/>
    </row>
    <row r="62" spans="1:16" s="157" customFormat="1" x14ac:dyDescent="0.25">
      <c r="A62" s="200"/>
      <c r="B62" s="910" t="str">
        <f>IF(Intro!$G$21="English",$O$16,$P$16)</f>
        <v>Sélectionnez oui ou non</v>
      </c>
      <c r="C62" s="911"/>
      <c r="D62" s="652"/>
      <c r="E62" s="652"/>
      <c r="F62" s="652"/>
      <c r="G62" s="652"/>
      <c r="H62" s="652"/>
      <c r="I62" s="652"/>
      <c r="J62" s="652"/>
      <c r="K62" s="652"/>
      <c r="L62" s="653"/>
      <c r="O62" s="13"/>
    </row>
    <row r="63" spans="1:16" s="157" customFormat="1" x14ac:dyDescent="0.25">
      <c r="A63" s="200"/>
      <c r="B63" s="916"/>
      <c r="C63" s="917"/>
      <c r="D63" s="652"/>
      <c r="E63" s="652"/>
      <c r="F63" s="652"/>
      <c r="G63" s="652"/>
      <c r="H63" s="652"/>
      <c r="I63" s="652"/>
      <c r="J63" s="652"/>
      <c r="K63" s="652"/>
      <c r="L63" s="653"/>
      <c r="O63" s="13"/>
    </row>
    <row r="64" spans="1:16" s="157" customFormat="1" x14ac:dyDescent="0.25">
      <c r="A64" s="200"/>
      <c r="B64" s="908"/>
      <c r="C64" s="909"/>
      <c r="D64" s="652"/>
      <c r="E64" s="652"/>
      <c r="F64" s="652"/>
      <c r="G64" s="652"/>
      <c r="H64" s="652"/>
      <c r="I64" s="652"/>
      <c r="J64" s="652"/>
      <c r="K64" s="652"/>
      <c r="L64" s="653"/>
      <c r="O64" s="13"/>
    </row>
    <row r="65" spans="1:16" s="157" customFormat="1" x14ac:dyDescent="0.25">
      <c r="A65" s="200"/>
      <c r="B65" s="918"/>
      <c r="C65" s="919"/>
      <c r="D65" s="652"/>
      <c r="E65" s="652"/>
      <c r="F65" s="652"/>
      <c r="G65" s="652"/>
      <c r="H65" s="652"/>
      <c r="I65" s="652"/>
      <c r="J65" s="652"/>
      <c r="K65" s="652"/>
      <c r="L65" s="653"/>
      <c r="O65" s="13"/>
    </row>
    <row r="66" spans="1:16" s="157" customFormat="1" x14ac:dyDescent="0.25">
      <c r="A66" s="200"/>
      <c r="B66" s="918"/>
      <c r="C66" s="919"/>
      <c r="D66" s="652"/>
      <c r="E66" s="652"/>
      <c r="F66" s="652"/>
      <c r="G66" s="652"/>
      <c r="H66" s="652"/>
      <c r="I66" s="652"/>
      <c r="J66" s="652"/>
      <c r="K66" s="652"/>
      <c r="L66" s="653"/>
      <c r="O66" s="13"/>
    </row>
    <row r="67" spans="1:16" s="157" customFormat="1" x14ac:dyDescent="0.25">
      <c r="A67" s="200"/>
      <c r="B67" s="918"/>
      <c r="C67" s="919"/>
      <c r="D67" s="652"/>
      <c r="E67" s="652"/>
      <c r="F67" s="652"/>
      <c r="G67" s="652"/>
      <c r="H67" s="652"/>
      <c r="I67" s="652"/>
      <c r="J67" s="652"/>
      <c r="K67" s="652"/>
      <c r="L67" s="653"/>
      <c r="O67" s="13"/>
    </row>
    <row r="68" spans="1:16" s="157" customFormat="1" x14ac:dyDescent="0.25">
      <c r="A68" s="200"/>
      <c r="B68" s="910"/>
      <c r="C68" s="911"/>
      <c r="D68" s="652"/>
      <c r="E68" s="652"/>
      <c r="F68" s="652"/>
      <c r="G68" s="652"/>
      <c r="H68" s="652"/>
      <c r="I68" s="652"/>
      <c r="J68" s="652"/>
      <c r="K68" s="652"/>
      <c r="L68" s="653"/>
      <c r="O68" s="13"/>
    </row>
    <row r="69" spans="1:16" s="157" customFormat="1" x14ac:dyDescent="0.25">
      <c r="A69" s="200"/>
      <c r="B69" s="912" t="str">
        <f>IF(Intro!$G$21="English",O69,P69)</f>
        <v>Les salaires de vos employés</v>
      </c>
      <c r="C69" s="913"/>
      <c r="D69" s="652"/>
      <c r="E69" s="652"/>
      <c r="F69" s="652"/>
      <c r="G69" s="652"/>
      <c r="H69" s="652"/>
      <c r="I69" s="652"/>
      <c r="J69" s="652"/>
      <c r="K69" s="652"/>
      <c r="L69" s="653"/>
      <c r="O69" s="13" t="s">
        <v>315</v>
      </c>
      <c r="P69" s="13" t="s">
        <v>316</v>
      </c>
    </row>
    <row r="70" spans="1:16" s="157" customFormat="1" x14ac:dyDescent="0.25">
      <c r="A70" s="200"/>
      <c r="B70" s="914"/>
      <c r="C70" s="915"/>
      <c r="D70" s="652"/>
      <c r="E70" s="652"/>
      <c r="F70" s="652"/>
      <c r="G70" s="652"/>
      <c r="H70" s="652"/>
      <c r="I70" s="652"/>
      <c r="J70" s="652"/>
      <c r="K70" s="652"/>
      <c r="L70" s="653"/>
      <c r="O70" s="13"/>
    </row>
    <row r="71" spans="1:16" s="157" customFormat="1" x14ac:dyDescent="0.25">
      <c r="A71" s="200"/>
      <c r="B71" s="914"/>
      <c r="C71" s="915"/>
      <c r="D71" s="652"/>
      <c r="E71" s="652"/>
      <c r="F71" s="652"/>
      <c r="G71" s="652"/>
      <c r="H71" s="652"/>
      <c r="I71" s="652"/>
      <c r="J71" s="652"/>
      <c r="K71" s="652"/>
      <c r="L71" s="653"/>
      <c r="O71" s="13"/>
    </row>
    <row r="72" spans="1:16" s="157" customFormat="1" x14ac:dyDescent="0.25">
      <c r="A72" s="200"/>
      <c r="B72" s="910" t="str">
        <f>IF(Intro!$G$21="English",$O$16,$P$16)</f>
        <v>Sélectionnez oui ou non</v>
      </c>
      <c r="C72" s="911"/>
      <c r="D72" s="652"/>
      <c r="E72" s="652"/>
      <c r="F72" s="652"/>
      <c r="G72" s="652"/>
      <c r="H72" s="652"/>
      <c r="I72" s="652"/>
      <c r="J72" s="652"/>
      <c r="K72" s="652"/>
      <c r="L72" s="653"/>
      <c r="O72" s="13"/>
    </row>
    <row r="73" spans="1:16" s="157" customFormat="1" x14ac:dyDescent="0.25">
      <c r="A73" s="200"/>
      <c r="B73" s="916"/>
      <c r="C73" s="917"/>
      <c r="D73" s="652"/>
      <c r="E73" s="652"/>
      <c r="F73" s="652"/>
      <c r="G73" s="652"/>
      <c r="H73" s="652"/>
      <c r="I73" s="652"/>
      <c r="J73" s="652"/>
      <c r="K73" s="652"/>
      <c r="L73" s="653"/>
      <c r="O73" s="13"/>
    </row>
    <row r="74" spans="1:16" s="157" customFormat="1" x14ac:dyDescent="0.25">
      <c r="A74" s="200"/>
      <c r="B74" s="908"/>
      <c r="C74" s="909"/>
      <c r="D74" s="652"/>
      <c r="E74" s="652"/>
      <c r="F74" s="652"/>
      <c r="G74" s="652"/>
      <c r="H74" s="652"/>
      <c r="I74" s="652"/>
      <c r="J74" s="652"/>
      <c r="K74" s="652"/>
      <c r="L74" s="653"/>
      <c r="O74" s="13"/>
    </row>
    <row r="75" spans="1:16" s="157" customFormat="1" x14ac:dyDescent="0.25">
      <c r="A75" s="200"/>
      <c r="B75" s="918"/>
      <c r="C75" s="919"/>
      <c r="D75" s="652"/>
      <c r="E75" s="652"/>
      <c r="F75" s="652"/>
      <c r="G75" s="652"/>
      <c r="H75" s="652"/>
      <c r="I75" s="652"/>
      <c r="J75" s="652"/>
      <c r="K75" s="652"/>
      <c r="L75" s="653"/>
      <c r="O75" s="13"/>
    </row>
    <row r="76" spans="1:16" s="157" customFormat="1" x14ac:dyDescent="0.25">
      <c r="A76" s="200"/>
      <c r="B76" s="918"/>
      <c r="C76" s="919"/>
      <c r="D76" s="652"/>
      <c r="E76" s="652"/>
      <c r="F76" s="652"/>
      <c r="G76" s="652"/>
      <c r="H76" s="652"/>
      <c r="I76" s="652"/>
      <c r="J76" s="652"/>
      <c r="K76" s="652"/>
      <c r="L76" s="653"/>
      <c r="O76" s="13"/>
    </row>
    <row r="77" spans="1:16" s="157" customFormat="1" x14ac:dyDescent="0.25">
      <c r="A77" s="200"/>
      <c r="B77" s="918"/>
      <c r="C77" s="919"/>
      <c r="D77" s="652"/>
      <c r="E77" s="652"/>
      <c r="F77" s="652"/>
      <c r="G77" s="652"/>
      <c r="H77" s="652"/>
      <c r="I77" s="652"/>
      <c r="J77" s="652"/>
      <c r="K77" s="652"/>
      <c r="L77" s="653"/>
      <c r="O77" s="13"/>
    </row>
    <row r="78" spans="1:16" s="157" customFormat="1" x14ac:dyDescent="0.25">
      <c r="A78" s="200"/>
      <c r="B78" s="910"/>
      <c r="C78" s="911"/>
      <c r="D78" s="652"/>
      <c r="E78" s="652"/>
      <c r="F78" s="652"/>
      <c r="G78" s="652"/>
      <c r="H78" s="652"/>
      <c r="I78" s="652"/>
      <c r="J78" s="652"/>
      <c r="K78" s="652"/>
      <c r="L78" s="653"/>
      <c r="O78" s="13"/>
    </row>
    <row r="79" spans="1:16" s="157" customFormat="1" x14ac:dyDescent="0.25">
      <c r="A79" s="200"/>
      <c r="B79" s="912" t="str">
        <f>IF(Intro!$G$21="English",O79,P79)</f>
        <v>Le nombre d’heures de travail</v>
      </c>
      <c r="C79" s="913"/>
      <c r="D79" s="652"/>
      <c r="E79" s="652"/>
      <c r="F79" s="652"/>
      <c r="G79" s="652"/>
      <c r="H79" s="652"/>
      <c r="I79" s="652"/>
      <c r="J79" s="652"/>
      <c r="K79" s="652"/>
      <c r="L79" s="653"/>
      <c r="O79" s="13" t="s">
        <v>317</v>
      </c>
      <c r="P79" s="13" t="s">
        <v>318</v>
      </c>
    </row>
    <row r="80" spans="1:16" s="157" customFormat="1" x14ac:dyDescent="0.25">
      <c r="A80" s="200"/>
      <c r="B80" s="914"/>
      <c r="C80" s="915"/>
      <c r="D80" s="652"/>
      <c r="E80" s="652"/>
      <c r="F80" s="652"/>
      <c r="G80" s="652"/>
      <c r="H80" s="652"/>
      <c r="I80" s="652"/>
      <c r="J80" s="652"/>
      <c r="K80" s="652"/>
      <c r="L80" s="653"/>
      <c r="O80" s="13"/>
    </row>
    <row r="81" spans="1:16" s="157" customFormat="1" x14ac:dyDescent="0.25">
      <c r="A81" s="200"/>
      <c r="B81" s="914"/>
      <c r="C81" s="915"/>
      <c r="D81" s="652"/>
      <c r="E81" s="652"/>
      <c r="F81" s="652"/>
      <c r="G81" s="652"/>
      <c r="H81" s="652"/>
      <c r="I81" s="652"/>
      <c r="J81" s="652"/>
      <c r="K81" s="652"/>
      <c r="L81" s="653"/>
      <c r="O81" s="13"/>
    </row>
    <row r="82" spans="1:16" s="157" customFormat="1" x14ac:dyDescent="0.25">
      <c r="A82" s="200"/>
      <c r="B82" s="910" t="str">
        <f>IF(Intro!$G$21="English",$O$16,$P$16)</f>
        <v>Sélectionnez oui ou non</v>
      </c>
      <c r="C82" s="911"/>
      <c r="D82" s="652"/>
      <c r="E82" s="652"/>
      <c r="F82" s="652"/>
      <c r="G82" s="652"/>
      <c r="H82" s="652"/>
      <c r="I82" s="652"/>
      <c r="J82" s="652"/>
      <c r="K82" s="652"/>
      <c r="L82" s="653"/>
      <c r="O82" s="13"/>
    </row>
    <row r="83" spans="1:16" s="157" customFormat="1" x14ac:dyDescent="0.25">
      <c r="A83" s="200"/>
      <c r="B83" s="916"/>
      <c r="C83" s="917"/>
      <c r="D83" s="652"/>
      <c r="E83" s="652"/>
      <c r="F83" s="652"/>
      <c r="G83" s="652"/>
      <c r="H83" s="652"/>
      <c r="I83" s="652"/>
      <c r="J83" s="652"/>
      <c r="K83" s="652"/>
      <c r="L83" s="653"/>
      <c r="O83" s="13"/>
    </row>
    <row r="84" spans="1:16" s="157" customFormat="1" x14ac:dyDescent="0.25">
      <c r="A84" s="200"/>
      <c r="B84" s="908"/>
      <c r="C84" s="909"/>
      <c r="D84" s="652"/>
      <c r="E84" s="652"/>
      <c r="F84" s="652"/>
      <c r="G84" s="652"/>
      <c r="H84" s="652"/>
      <c r="I84" s="652"/>
      <c r="J84" s="652"/>
      <c r="K84" s="652"/>
      <c r="L84" s="653"/>
      <c r="O84" s="13"/>
    </row>
    <row r="85" spans="1:16" s="157" customFormat="1" x14ac:dyDescent="0.25">
      <c r="A85" s="200"/>
      <c r="B85" s="918"/>
      <c r="C85" s="919"/>
      <c r="D85" s="652"/>
      <c r="E85" s="652"/>
      <c r="F85" s="652"/>
      <c r="G85" s="652"/>
      <c r="H85" s="652"/>
      <c r="I85" s="652"/>
      <c r="J85" s="652"/>
      <c r="K85" s="652"/>
      <c r="L85" s="653"/>
      <c r="O85" s="13"/>
    </row>
    <row r="86" spans="1:16" s="157" customFormat="1" x14ac:dyDescent="0.25">
      <c r="A86" s="200"/>
      <c r="B86" s="918"/>
      <c r="C86" s="919"/>
      <c r="D86" s="652"/>
      <c r="E86" s="652"/>
      <c r="F86" s="652"/>
      <c r="G86" s="652"/>
      <c r="H86" s="652"/>
      <c r="I86" s="652"/>
      <c r="J86" s="652"/>
      <c r="K86" s="652"/>
      <c r="L86" s="653"/>
      <c r="O86" s="13"/>
    </row>
    <row r="87" spans="1:16" s="157" customFormat="1" x14ac:dyDescent="0.25">
      <c r="A87" s="200"/>
      <c r="B87" s="918"/>
      <c r="C87" s="919"/>
      <c r="D87" s="652"/>
      <c r="E87" s="652"/>
      <c r="F87" s="652"/>
      <c r="G87" s="652"/>
      <c r="H87" s="652"/>
      <c r="I87" s="652"/>
      <c r="J87" s="652"/>
      <c r="K87" s="652"/>
      <c r="L87" s="653"/>
      <c r="O87" s="13"/>
    </row>
    <row r="88" spans="1:16" s="157" customFormat="1" x14ac:dyDescent="0.25">
      <c r="A88" s="200"/>
      <c r="B88" s="910"/>
      <c r="C88" s="911"/>
      <c r="D88" s="652"/>
      <c r="E88" s="652"/>
      <c r="F88" s="652"/>
      <c r="G88" s="652"/>
      <c r="H88" s="652"/>
      <c r="I88" s="652"/>
      <c r="J88" s="652"/>
      <c r="K88" s="652"/>
      <c r="L88" s="653"/>
      <c r="O88" s="13"/>
    </row>
    <row r="89" spans="1:16" s="157" customFormat="1" x14ac:dyDescent="0.25">
      <c r="A89" s="200"/>
      <c r="B89" s="912" t="str">
        <f>IF(Intro!$G$21="English",O89,P89)</f>
        <v>Le régime de pension</v>
      </c>
      <c r="C89" s="913"/>
      <c r="D89" s="652"/>
      <c r="E89" s="652"/>
      <c r="F89" s="652"/>
      <c r="G89" s="652"/>
      <c r="H89" s="652"/>
      <c r="I89" s="652"/>
      <c r="J89" s="652"/>
      <c r="K89" s="652"/>
      <c r="L89" s="653"/>
      <c r="O89" s="13" t="s">
        <v>319</v>
      </c>
      <c r="P89" s="13" t="s">
        <v>320</v>
      </c>
    </row>
    <row r="90" spans="1:16" s="157" customFormat="1" x14ac:dyDescent="0.25">
      <c r="A90" s="200"/>
      <c r="B90" s="914"/>
      <c r="C90" s="915"/>
      <c r="D90" s="652"/>
      <c r="E90" s="652"/>
      <c r="F90" s="652"/>
      <c r="G90" s="652"/>
      <c r="H90" s="652"/>
      <c r="I90" s="652"/>
      <c r="J90" s="652"/>
      <c r="K90" s="652"/>
      <c r="L90" s="653"/>
      <c r="O90" s="13"/>
    </row>
    <row r="91" spans="1:16" s="157" customFormat="1" x14ac:dyDescent="0.25">
      <c r="A91" s="200"/>
      <c r="B91" s="914"/>
      <c r="C91" s="915"/>
      <c r="D91" s="652"/>
      <c r="E91" s="652"/>
      <c r="F91" s="652"/>
      <c r="G91" s="652"/>
      <c r="H91" s="652"/>
      <c r="I91" s="652"/>
      <c r="J91" s="652"/>
      <c r="K91" s="652"/>
      <c r="L91" s="653"/>
      <c r="O91" s="13"/>
    </row>
    <row r="92" spans="1:16" s="157" customFormat="1" x14ac:dyDescent="0.25">
      <c r="A92" s="200"/>
      <c r="B92" s="910" t="str">
        <f>IF(Intro!$G$21="English",$O$16,$P$16)</f>
        <v>Sélectionnez oui ou non</v>
      </c>
      <c r="C92" s="911"/>
      <c r="D92" s="652"/>
      <c r="E92" s="652"/>
      <c r="F92" s="652"/>
      <c r="G92" s="652"/>
      <c r="H92" s="652"/>
      <c r="I92" s="652"/>
      <c r="J92" s="652"/>
      <c r="K92" s="652"/>
      <c r="L92" s="653"/>
      <c r="O92" s="13"/>
    </row>
    <row r="93" spans="1:16" s="157" customFormat="1" x14ac:dyDescent="0.25">
      <c r="A93" s="200"/>
      <c r="B93" s="916"/>
      <c r="C93" s="917"/>
      <c r="D93" s="652"/>
      <c r="E93" s="652"/>
      <c r="F93" s="652"/>
      <c r="G93" s="652"/>
      <c r="H93" s="652"/>
      <c r="I93" s="652"/>
      <c r="J93" s="652"/>
      <c r="K93" s="652"/>
      <c r="L93" s="653"/>
      <c r="O93" s="13"/>
    </row>
    <row r="94" spans="1:16" s="157" customFormat="1" x14ac:dyDescent="0.25">
      <c r="A94" s="200"/>
      <c r="B94" s="908"/>
      <c r="C94" s="909"/>
      <c r="D94" s="652"/>
      <c r="E94" s="652"/>
      <c r="F94" s="652"/>
      <c r="G94" s="652"/>
      <c r="H94" s="652"/>
      <c r="I94" s="652"/>
      <c r="J94" s="652"/>
      <c r="K94" s="652"/>
      <c r="L94" s="653"/>
      <c r="O94" s="13"/>
    </row>
    <row r="95" spans="1:16" s="157" customFormat="1" x14ac:dyDescent="0.25">
      <c r="A95" s="200"/>
      <c r="B95" s="918"/>
      <c r="C95" s="919"/>
      <c r="D95" s="652"/>
      <c r="E95" s="652"/>
      <c r="F95" s="652"/>
      <c r="G95" s="652"/>
      <c r="H95" s="652"/>
      <c r="I95" s="652"/>
      <c r="J95" s="652"/>
      <c r="K95" s="652"/>
      <c r="L95" s="653"/>
      <c r="O95" s="13"/>
    </row>
    <row r="96" spans="1:16" s="157" customFormat="1" x14ac:dyDescent="0.25">
      <c r="A96" s="200"/>
      <c r="B96" s="918"/>
      <c r="C96" s="919"/>
      <c r="D96" s="652"/>
      <c r="E96" s="652"/>
      <c r="F96" s="652"/>
      <c r="G96" s="652"/>
      <c r="H96" s="652"/>
      <c r="I96" s="652"/>
      <c r="J96" s="652"/>
      <c r="K96" s="652"/>
      <c r="L96" s="653"/>
      <c r="O96" s="13"/>
    </row>
    <row r="97" spans="1:16" s="157" customFormat="1" x14ac:dyDescent="0.25">
      <c r="A97" s="200"/>
      <c r="B97" s="918"/>
      <c r="C97" s="919"/>
      <c r="D97" s="652"/>
      <c r="E97" s="652"/>
      <c r="F97" s="652"/>
      <c r="G97" s="652"/>
      <c r="H97" s="652"/>
      <c r="I97" s="652"/>
      <c r="J97" s="652"/>
      <c r="K97" s="652"/>
      <c r="L97" s="653"/>
      <c r="O97" s="13"/>
    </row>
    <row r="98" spans="1:16" s="157" customFormat="1" x14ac:dyDescent="0.25">
      <c r="A98" s="200"/>
      <c r="B98" s="910"/>
      <c r="C98" s="911"/>
      <c r="D98" s="652"/>
      <c r="E98" s="652"/>
      <c r="F98" s="652"/>
      <c r="G98" s="652"/>
      <c r="H98" s="652"/>
      <c r="I98" s="652"/>
      <c r="J98" s="652"/>
      <c r="K98" s="652"/>
      <c r="L98" s="653"/>
      <c r="O98" s="13"/>
    </row>
    <row r="99" spans="1:16" s="157" customFormat="1" x14ac:dyDescent="0.25">
      <c r="A99" s="200"/>
      <c r="B99" s="912" t="str">
        <f>IF(Intro!$G$21="English",O99,P99)</f>
        <v>Les avantages sociaux</v>
      </c>
      <c r="C99" s="913"/>
      <c r="D99" s="652"/>
      <c r="E99" s="652"/>
      <c r="F99" s="652"/>
      <c r="G99" s="652"/>
      <c r="H99" s="652"/>
      <c r="I99" s="652"/>
      <c r="J99" s="652"/>
      <c r="K99" s="652"/>
      <c r="L99" s="653"/>
      <c r="O99" s="13" t="s">
        <v>321</v>
      </c>
      <c r="P99" s="13" t="s">
        <v>322</v>
      </c>
    </row>
    <row r="100" spans="1:16" s="157" customFormat="1" x14ac:dyDescent="0.25">
      <c r="A100" s="200"/>
      <c r="B100" s="914"/>
      <c r="C100" s="915"/>
      <c r="D100" s="652"/>
      <c r="E100" s="652"/>
      <c r="F100" s="652"/>
      <c r="G100" s="652"/>
      <c r="H100" s="652"/>
      <c r="I100" s="652"/>
      <c r="J100" s="652"/>
      <c r="K100" s="652"/>
      <c r="L100" s="653"/>
    </row>
    <row r="101" spans="1:16" s="157" customFormat="1" x14ac:dyDescent="0.25">
      <c r="A101" s="200"/>
      <c r="B101" s="914"/>
      <c r="C101" s="915"/>
      <c r="D101" s="652"/>
      <c r="E101" s="652"/>
      <c r="F101" s="652"/>
      <c r="G101" s="652"/>
      <c r="H101" s="652"/>
      <c r="I101" s="652"/>
      <c r="J101" s="652"/>
      <c r="K101" s="652"/>
      <c r="L101" s="653"/>
    </row>
    <row r="102" spans="1:16" s="157" customFormat="1" x14ac:dyDescent="0.25">
      <c r="A102" s="200"/>
      <c r="B102" s="910" t="str">
        <f>IF(Intro!$G$21="English",$O$16,$P$16)</f>
        <v>Sélectionnez oui ou non</v>
      </c>
      <c r="C102" s="911"/>
      <c r="D102" s="652"/>
      <c r="E102" s="652"/>
      <c r="F102" s="652"/>
      <c r="G102" s="652"/>
      <c r="H102" s="652"/>
      <c r="I102" s="652"/>
      <c r="J102" s="652"/>
      <c r="K102" s="652"/>
      <c r="L102" s="653"/>
      <c r="O102" s="13"/>
    </row>
    <row r="103" spans="1:16" s="157" customFormat="1" x14ac:dyDescent="0.25">
      <c r="A103" s="200"/>
      <c r="B103" s="916"/>
      <c r="C103" s="917"/>
      <c r="D103" s="652"/>
      <c r="E103" s="652"/>
      <c r="F103" s="652"/>
      <c r="G103" s="652"/>
      <c r="H103" s="652"/>
      <c r="I103" s="652"/>
      <c r="J103" s="652"/>
      <c r="K103" s="652"/>
      <c r="L103" s="653"/>
      <c r="O103" s="13"/>
    </row>
    <row r="104" spans="1:16" s="157" customFormat="1" x14ac:dyDescent="0.25">
      <c r="A104" s="200"/>
      <c r="B104" s="908"/>
      <c r="C104" s="909"/>
      <c r="D104" s="652"/>
      <c r="E104" s="652"/>
      <c r="F104" s="652"/>
      <c r="G104" s="652"/>
      <c r="H104" s="652"/>
      <c r="I104" s="652"/>
      <c r="J104" s="652"/>
      <c r="K104" s="652"/>
      <c r="L104" s="653"/>
      <c r="O104" s="13"/>
    </row>
    <row r="105" spans="1:16" s="157" customFormat="1" x14ac:dyDescent="0.25">
      <c r="A105" s="200"/>
      <c r="B105" s="918"/>
      <c r="C105" s="919"/>
      <c r="D105" s="652"/>
      <c r="E105" s="652"/>
      <c r="F105" s="652"/>
      <c r="G105" s="652"/>
      <c r="H105" s="652"/>
      <c r="I105" s="652"/>
      <c r="J105" s="652"/>
      <c r="K105" s="652"/>
      <c r="L105" s="653"/>
      <c r="O105" s="13"/>
    </row>
    <row r="106" spans="1:16" s="157" customFormat="1" x14ac:dyDescent="0.25">
      <c r="A106" s="200"/>
      <c r="B106" s="918"/>
      <c r="C106" s="919"/>
      <c r="D106" s="652"/>
      <c r="E106" s="652"/>
      <c r="F106" s="652"/>
      <c r="G106" s="652"/>
      <c r="H106" s="652"/>
      <c r="I106" s="652"/>
      <c r="J106" s="652"/>
      <c r="K106" s="652"/>
      <c r="L106" s="653"/>
      <c r="O106" s="13"/>
    </row>
    <row r="107" spans="1:16" s="157" customFormat="1" x14ac:dyDescent="0.25">
      <c r="A107" s="200"/>
      <c r="B107" s="918"/>
      <c r="C107" s="919"/>
      <c r="D107" s="652"/>
      <c r="E107" s="652"/>
      <c r="F107" s="652"/>
      <c r="G107" s="652"/>
      <c r="H107" s="652"/>
      <c r="I107" s="652"/>
      <c r="J107" s="652"/>
      <c r="K107" s="652"/>
      <c r="L107" s="653"/>
      <c r="O107" s="13"/>
    </row>
    <row r="108" spans="1:16" s="157" customFormat="1" x14ac:dyDescent="0.25">
      <c r="A108" s="200"/>
      <c r="B108" s="910"/>
      <c r="C108" s="911"/>
      <c r="D108" s="652"/>
      <c r="E108" s="652"/>
      <c r="F108" s="652"/>
      <c r="G108" s="652"/>
      <c r="H108" s="652"/>
      <c r="I108" s="652"/>
      <c r="J108" s="652"/>
      <c r="K108" s="652"/>
      <c r="L108" s="653"/>
      <c r="O108" s="13"/>
    </row>
    <row r="109" spans="1:16" s="157" customFormat="1" x14ac:dyDescent="0.25">
      <c r="A109" s="200"/>
      <c r="B109" s="912" t="str">
        <f>IF(Intro!$G$21="English",O109,P109)</f>
        <v>La formation et la sécurité des travailleurs.</v>
      </c>
      <c r="C109" s="913"/>
      <c r="D109" s="652"/>
      <c r="E109" s="652"/>
      <c r="F109" s="652"/>
      <c r="G109" s="652"/>
      <c r="H109" s="652"/>
      <c r="I109" s="652"/>
      <c r="J109" s="652"/>
      <c r="K109" s="652"/>
      <c r="L109" s="653"/>
      <c r="O109" s="13" t="s">
        <v>323</v>
      </c>
      <c r="P109" s="13" t="s">
        <v>324</v>
      </c>
    </row>
    <row r="110" spans="1:16" s="157" customFormat="1" x14ac:dyDescent="0.25">
      <c r="A110" s="200"/>
      <c r="B110" s="914"/>
      <c r="C110" s="915"/>
      <c r="D110" s="652"/>
      <c r="E110" s="652"/>
      <c r="F110" s="652"/>
      <c r="G110" s="652"/>
      <c r="H110" s="652"/>
      <c r="I110" s="652"/>
      <c r="J110" s="652"/>
      <c r="K110" s="652"/>
      <c r="L110" s="653"/>
      <c r="O110" s="13"/>
      <c r="P110" s="13"/>
    </row>
    <row r="111" spans="1:16" s="157" customFormat="1" x14ac:dyDescent="0.25">
      <c r="A111" s="200"/>
      <c r="B111" s="914"/>
      <c r="C111" s="915"/>
      <c r="D111" s="652"/>
      <c r="E111" s="652"/>
      <c r="F111" s="652"/>
      <c r="G111" s="652"/>
      <c r="H111" s="652"/>
      <c r="I111" s="652"/>
      <c r="J111" s="652"/>
      <c r="K111" s="652"/>
      <c r="L111" s="653"/>
      <c r="O111" s="13"/>
    </row>
    <row r="112" spans="1:16" s="157" customFormat="1" x14ac:dyDescent="0.25">
      <c r="A112" s="200"/>
      <c r="B112" s="910" t="str">
        <f>IF(Intro!$G$21="English",$O$16,$P$16)</f>
        <v>Sélectionnez oui ou non</v>
      </c>
      <c r="C112" s="911"/>
      <c r="D112" s="652"/>
      <c r="E112" s="652"/>
      <c r="F112" s="652"/>
      <c r="G112" s="652"/>
      <c r="H112" s="652"/>
      <c r="I112" s="652"/>
      <c r="J112" s="652"/>
      <c r="K112" s="652"/>
      <c r="L112" s="653"/>
      <c r="O112" s="13"/>
    </row>
    <row r="113" spans="1:16" s="157" customFormat="1" x14ac:dyDescent="0.25">
      <c r="A113" s="200"/>
      <c r="B113" s="916"/>
      <c r="C113" s="917"/>
      <c r="D113" s="652"/>
      <c r="E113" s="652"/>
      <c r="F113" s="652"/>
      <c r="G113" s="652"/>
      <c r="H113" s="652"/>
      <c r="I113" s="652"/>
      <c r="J113" s="652"/>
      <c r="K113" s="652"/>
      <c r="L113" s="653"/>
      <c r="O113" s="13"/>
    </row>
    <row r="114" spans="1:16" s="157" customFormat="1" x14ac:dyDescent="0.25">
      <c r="A114" s="200"/>
      <c r="B114" s="908"/>
      <c r="C114" s="909"/>
      <c r="D114" s="652"/>
      <c r="E114" s="652"/>
      <c r="F114" s="652"/>
      <c r="G114" s="652"/>
      <c r="H114" s="652"/>
      <c r="I114" s="652"/>
      <c r="J114" s="652"/>
      <c r="K114" s="652"/>
      <c r="L114" s="653"/>
      <c r="O114" s="13"/>
    </row>
    <row r="115" spans="1:16" s="157" customFormat="1" x14ac:dyDescent="0.25">
      <c r="A115" s="200"/>
      <c r="B115" s="918"/>
      <c r="C115" s="919"/>
      <c r="D115" s="652"/>
      <c r="E115" s="652"/>
      <c r="F115" s="652"/>
      <c r="G115" s="652"/>
      <c r="H115" s="652"/>
      <c r="I115" s="652"/>
      <c r="J115" s="652"/>
      <c r="K115" s="652"/>
      <c r="L115" s="653"/>
      <c r="O115" s="13"/>
    </row>
    <row r="116" spans="1:16" s="157" customFormat="1" x14ac:dyDescent="0.25">
      <c r="A116" s="200"/>
      <c r="B116" s="918"/>
      <c r="C116" s="919"/>
      <c r="D116" s="652"/>
      <c r="E116" s="652"/>
      <c r="F116" s="652"/>
      <c r="G116" s="652"/>
      <c r="H116" s="652"/>
      <c r="I116" s="652"/>
      <c r="J116" s="652"/>
      <c r="K116" s="652"/>
      <c r="L116" s="653"/>
      <c r="O116" s="13"/>
    </row>
    <row r="117" spans="1:16" s="157" customFormat="1" x14ac:dyDescent="0.25">
      <c r="A117" s="200"/>
      <c r="B117" s="918"/>
      <c r="C117" s="919"/>
      <c r="D117" s="652"/>
      <c r="E117" s="652"/>
      <c r="F117" s="652"/>
      <c r="G117" s="652"/>
      <c r="H117" s="652"/>
      <c r="I117" s="652"/>
      <c r="J117" s="652"/>
      <c r="K117" s="652"/>
      <c r="L117" s="653"/>
      <c r="O117" s="13"/>
    </row>
    <row r="118" spans="1:16" s="157" customFormat="1" x14ac:dyDescent="0.25">
      <c r="A118" s="200"/>
      <c r="B118" s="910"/>
      <c r="C118" s="911"/>
      <c r="D118" s="652"/>
      <c r="E118" s="652"/>
      <c r="F118" s="652"/>
      <c r="G118" s="652"/>
      <c r="H118" s="652"/>
      <c r="I118" s="652"/>
      <c r="J118" s="652"/>
      <c r="K118" s="652"/>
      <c r="L118" s="653"/>
      <c r="O118" s="13"/>
    </row>
    <row r="119" spans="1:16" s="157" customFormat="1" x14ac:dyDescent="0.25">
      <c r="A119" s="200"/>
      <c r="B119" s="912" t="str">
        <f>IF(Intro!$G$21="English",O119,P119)</f>
        <v xml:space="preserve">Autres facteurs pertinents </v>
      </c>
      <c r="C119" s="913"/>
      <c r="D119" s="652"/>
      <c r="E119" s="652"/>
      <c r="F119" s="652"/>
      <c r="G119" s="652"/>
      <c r="H119" s="652"/>
      <c r="I119" s="652"/>
      <c r="J119" s="652"/>
      <c r="K119" s="652"/>
      <c r="L119" s="653"/>
      <c r="O119" s="13" t="s">
        <v>96</v>
      </c>
      <c r="P119" s="13" t="s">
        <v>97</v>
      </c>
    </row>
    <row r="120" spans="1:16" s="157" customFormat="1" x14ac:dyDescent="0.25">
      <c r="A120" s="200"/>
      <c r="B120" s="914"/>
      <c r="C120" s="915"/>
      <c r="D120" s="652"/>
      <c r="E120" s="652"/>
      <c r="F120" s="652"/>
      <c r="G120" s="652"/>
      <c r="H120" s="652"/>
      <c r="I120" s="652"/>
      <c r="J120" s="652"/>
      <c r="K120" s="652"/>
      <c r="L120" s="653"/>
    </row>
    <row r="121" spans="1:16" s="157" customFormat="1" x14ac:dyDescent="0.25">
      <c r="A121" s="200"/>
      <c r="B121" s="914"/>
      <c r="C121" s="915"/>
      <c r="D121" s="652"/>
      <c r="E121" s="652"/>
      <c r="F121" s="652"/>
      <c r="G121" s="652"/>
      <c r="H121" s="652"/>
      <c r="I121" s="652"/>
      <c r="J121" s="652"/>
      <c r="K121" s="652"/>
      <c r="L121" s="653"/>
      <c r="O121" s="13"/>
    </row>
    <row r="122" spans="1:16" s="157" customFormat="1" x14ac:dyDescent="0.25">
      <c r="A122" s="200"/>
      <c r="B122" s="910" t="str">
        <f>IF(Intro!$G$21="English",$O$16,$P$16)</f>
        <v>Sélectionnez oui ou non</v>
      </c>
      <c r="C122" s="911"/>
      <c r="D122" s="652"/>
      <c r="E122" s="652"/>
      <c r="F122" s="652"/>
      <c r="G122" s="652"/>
      <c r="H122" s="652"/>
      <c r="I122" s="652"/>
      <c r="J122" s="652"/>
      <c r="K122" s="652"/>
      <c r="L122" s="653"/>
      <c r="O122" s="13"/>
    </row>
    <row r="123" spans="1:16" s="157" customFormat="1" x14ac:dyDescent="0.25">
      <c r="A123" s="200"/>
      <c r="B123" s="916"/>
      <c r="C123" s="917"/>
      <c r="D123" s="652"/>
      <c r="E123" s="652"/>
      <c r="F123" s="652"/>
      <c r="G123" s="652"/>
      <c r="H123" s="652"/>
      <c r="I123" s="652"/>
      <c r="J123" s="652"/>
      <c r="K123" s="652"/>
      <c r="L123" s="653"/>
      <c r="O123" s="13"/>
    </row>
    <row r="124" spans="1:16" s="157" customFormat="1" x14ac:dyDescent="0.25">
      <c r="A124" s="200"/>
      <c r="B124" s="908"/>
      <c r="C124" s="909"/>
      <c r="D124" s="652"/>
      <c r="E124" s="652"/>
      <c r="F124" s="652"/>
      <c r="G124" s="652"/>
      <c r="H124" s="652"/>
      <c r="I124" s="652"/>
      <c r="J124" s="652"/>
      <c r="K124" s="652"/>
      <c r="L124" s="653"/>
      <c r="O124" s="13"/>
    </row>
    <row r="125" spans="1:16" s="157" customFormat="1" x14ac:dyDescent="0.25">
      <c r="A125" s="200"/>
      <c r="B125" s="918"/>
      <c r="C125" s="919"/>
      <c r="D125" s="652"/>
      <c r="E125" s="652"/>
      <c r="F125" s="652"/>
      <c r="G125" s="652"/>
      <c r="H125" s="652"/>
      <c r="I125" s="652"/>
      <c r="J125" s="652"/>
      <c r="K125" s="652"/>
      <c r="L125" s="653"/>
      <c r="O125" s="13"/>
    </row>
    <row r="126" spans="1:16" s="157" customFormat="1" x14ac:dyDescent="0.25">
      <c r="A126" s="200"/>
      <c r="B126" s="918"/>
      <c r="C126" s="919"/>
      <c r="D126" s="652"/>
      <c r="E126" s="652"/>
      <c r="F126" s="652"/>
      <c r="G126" s="652"/>
      <c r="H126" s="652"/>
      <c r="I126" s="652"/>
      <c r="J126" s="652"/>
      <c r="K126" s="652"/>
      <c r="L126" s="653"/>
      <c r="O126" s="13"/>
    </row>
    <row r="127" spans="1:16" s="157" customFormat="1" x14ac:dyDescent="0.25">
      <c r="A127" s="200"/>
      <c r="B127" s="918"/>
      <c r="C127" s="919"/>
      <c r="D127" s="652"/>
      <c r="E127" s="652"/>
      <c r="F127" s="652"/>
      <c r="G127" s="652"/>
      <c r="H127" s="652"/>
      <c r="I127" s="652"/>
      <c r="J127" s="652"/>
      <c r="K127" s="652"/>
      <c r="L127" s="653"/>
      <c r="O127" s="13"/>
    </row>
    <row r="128" spans="1:16" s="157" customFormat="1" x14ac:dyDescent="0.25">
      <c r="A128" s="200"/>
      <c r="B128" s="910"/>
      <c r="C128" s="911"/>
      <c r="D128" s="652"/>
      <c r="E128" s="652"/>
      <c r="F128" s="652"/>
      <c r="G128" s="652"/>
      <c r="H128" s="652"/>
      <c r="I128" s="652"/>
      <c r="J128" s="652"/>
      <c r="K128" s="652"/>
      <c r="L128" s="653"/>
      <c r="O128" s="13"/>
    </row>
    <row r="129" spans="1:16" s="157" customFormat="1" x14ac:dyDescent="0.25">
      <c r="A129" s="200"/>
      <c r="B129" s="207"/>
      <c r="C129" s="208"/>
      <c r="D129" s="208"/>
      <c r="E129" s="208"/>
      <c r="F129" s="208"/>
      <c r="G129" s="208"/>
      <c r="H129" s="208"/>
      <c r="I129" s="208"/>
      <c r="J129" s="208"/>
      <c r="K129" s="208"/>
      <c r="L129" s="209"/>
    </row>
    <row r="130" spans="1:16" x14ac:dyDescent="0.25">
      <c r="B130" s="678" t="str">
        <f>IF(Intro!$G$21="English",O130,P130)</f>
        <v xml:space="preserve"> ALLÉGATIONS DE DOMMAGE</v>
      </c>
      <c r="C130" s="679"/>
      <c r="D130" s="679"/>
      <c r="E130" s="679"/>
      <c r="F130" s="679"/>
      <c r="G130" s="679"/>
      <c r="H130" s="679"/>
      <c r="I130" s="679"/>
      <c r="J130" s="679"/>
      <c r="K130" s="679"/>
      <c r="L130" s="680"/>
      <c r="M130" s="157"/>
      <c r="O130" s="2" t="s">
        <v>98</v>
      </c>
      <c r="P130" s="2" t="s">
        <v>99</v>
      </c>
    </row>
    <row r="131" spans="1:16" s="3" customFormat="1" x14ac:dyDescent="0.25">
      <c r="A131" s="14"/>
      <c r="B131" s="767" t="s">
        <v>21</v>
      </c>
      <c r="C131" s="768"/>
      <c r="D131" s="768"/>
      <c r="E131" s="768"/>
      <c r="F131" s="768"/>
      <c r="G131" s="768"/>
      <c r="H131" s="768"/>
      <c r="I131" s="768"/>
      <c r="J131" s="768"/>
      <c r="K131" s="768"/>
      <c r="L131" s="769"/>
      <c r="M131" s="216"/>
      <c r="O131" s="157"/>
    </row>
    <row r="132" spans="1:16" s="157" customFormat="1" x14ac:dyDescent="0.25">
      <c r="A132" s="200"/>
      <c r="B132" s="201"/>
      <c r="C132" s="202"/>
      <c r="D132" s="202"/>
      <c r="E132" s="202"/>
      <c r="F132" s="202"/>
      <c r="G132" s="202"/>
      <c r="H132" s="202"/>
      <c r="I132" s="202"/>
      <c r="J132" s="202"/>
      <c r="K132" s="202"/>
      <c r="L132" s="203"/>
    </row>
    <row r="133" spans="1:16" s="157" customFormat="1" x14ac:dyDescent="0.25">
      <c r="A133" s="200"/>
      <c r="B133" s="672" t="str">
        <f>IF(Intro!$G$21="English",O133,P133)</f>
        <v>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v>
      </c>
      <c r="C133" s="673"/>
      <c r="D133" s="673"/>
      <c r="E133" s="673"/>
      <c r="F133" s="673"/>
      <c r="G133" s="673"/>
      <c r="H133" s="673"/>
      <c r="I133" s="673"/>
      <c r="J133" s="673"/>
      <c r="K133" s="673"/>
      <c r="L133" s="674"/>
      <c r="O133" s="157" t="s">
        <v>273</v>
      </c>
      <c r="P133" s="157" t="s">
        <v>274</v>
      </c>
    </row>
    <row r="134" spans="1:16" s="157" customFormat="1" x14ac:dyDescent="0.25">
      <c r="A134" s="200"/>
      <c r="B134" s="672"/>
      <c r="C134" s="673"/>
      <c r="D134" s="673"/>
      <c r="E134" s="673"/>
      <c r="F134" s="673"/>
      <c r="G134" s="673"/>
      <c r="H134" s="673"/>
      <c r="I134" s="673"/>
      <c r="J134" s="673"/>
      <c r="K134" s="673"/>
      <c r="L134" s="674"/>
    </row>
    <row r="135" spans="1:16" s="157" customFormat="1" x14ac:dyDescent="0.25">
      <c r="A135" s="200"/>
      <c r="B135" s="672"/>
      <c r="C135" s="673"/>
      <c r="D135" s="673"/>
      <c r="E135" s="673"/>
      <c r="F135" s="673"/>
      <c r="G135" s="673"/>
      <c r="H135" s="673"/>
      <c r="I135" s="673"/>
      <c r="J135" s="673"/>
      <c r="K135" s="673"/>
      <c r="L135" s="674"/>
    </row>
    <row r="136" spans="1:16" s="157" customFormat="1" x14ac:dyDescent="0.25">
      <c r="A136" s="200"/>
      <c r="B136" s="320"/>
      <c r="C136" s="321"/>
      <c r="D136" s="321"/>
      <c r="E136" s="321"/>
      <c r="F136" s="321"/>
      <c r="G136" s="321"/>
      <c r="H136" s="321"/>
      <c r="I136" s="321"/>
      <c r="J136" s="321"/>
      <c r="K136" s="321"/>
      <c r="L136" s="322"/>
    </row>
    <row r="137" spans="1:16" s="12" customFormat="1" x14ac:dyDescent="0.25">
      <c r="A137" s="14"/>
      <c r="B137" s="672" t="str">
        <f>IF(Intro!$G$21="English",O137,P137)</f>
        <v>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v>
      </c>
      <c r="C137" s="673"/>
      <c r="D137" s="673"/>
      <c r="E137" s="673"/>
      <c r="F137" s="673"/>
      <c r="G137" s="673"/>
      <c r="H137" s="673"/>
      <c r="I137" s="673"/>
      <c r="J137" s="673"/>
      <c r="K137" s="673"/>
      <c r="L137" s="674"/>
      <c r="O137" s="157" t="s">
        <v>455</v>
      </c>
      <c r="P137" s="157" t="s">
        <v>635</v>
      </c>
    </row>
    <row r="138" spans="1:16" s="12" customFormat="1" x14ac:dyDescent="0.25">
      <c r="A138" s="14"/>
      <c r="B138" s="672"/>
      <c r="C138" s="673"/>
      <c r="D138" s="673"/>
      <c r="E138" s="673"/>
      <c r="F138" s="673"/>
      <c r="G138" s="673"/>
      <c r="H138" s="673"/>
      <c r="I138" s="673"/>
      <c r="J138" s="673"/>
      <c r="K138" s="673"/>
      <c r="L138" s="674"/>
      <c r="O138" s="157"/>
      <c r="P138" s="157"/>
    </row>
    <row r="139" spans="1:16" s="12" customFormat="1" x14ac:dyDescent="0.25">
      <c r="A139" s="14"/>
      <c r="B139" s="320"/>
      <c r="C139" s="321"/>
      <c r="D139" s="321"/>
      <c r="E139" s="321"/>
      <c r="F139" s="321"/>
      <c r="G139" s="321"/>
      <c r="H139" s="321"/>
      <c r="I139" s="321"/>
      <c r="J139" s="321"/>
      <c r="K139" s="321"/>
      <c r="L139" s="322"/>
      <c r="O139" s="157"/>
      <c r="P139" s="157"/>
    </row>
    <row r="140" spans="1:16" s="12" customFormat="1" x14ac:dyDescent="0.25">
      <c r="A140" s="14"/>
      <c r="B140" s="672" t="str">
        <f>IF(Intro!$G$21="English",O140,P140)</f>
        <v>Ces allégations doivent être détaillées, concrètes, fondées et vérifiables. Toutefois, l’échantillon choisi doit consister en un maximum de 10 exemples raisonnables de la nature du prétendu dommage.</v>
      </c>
      <c r="C140" s="673"/>
      <c r="D140" s="673"/>
      <c r="E140" s="673"/>
      <c r="F140" s="673"/>
      <c r="G140" s="673"/>
      <c r="H140" s="673"/>
      <c r="I140" s="673"/>
      <c r="J140" s="673"/>
      <c r="K140" s="673"/>
      <c r="L140" s="674"/>
      <c r="O140" s="13" t="s">
        <v>413</v>
      </c>
      <c r="P140" s="12" t="s">
        <v>414</v>
      </c>
    </row>
    <row r="141" spans="1:16" s="12" customFormat="1" x14ac:dyDescent="0.25">
      <c r="A141" s="14"/>
      <c r="B141" s="672"/>
      <c r="C141" s="673"/>
      <c r="D141" s="673"/>
      <c r="E141" s="673"/>
      <c r="F141" s="673"/>
      <c r="G141" s="673"/>
      <c r="H141" s="673"/>
      <c r="I141" s="673"/>
      <c r="J141" s="673"/>
      <c r="K141" s="673"/>
      <c r="L141" s="674"/>
      <c r="O141" s="13"/>
    </row>
    <row r="142" spans="1:16" s="12" customFormat="1" x14ac:dyDescent="0.25">
      <c r="A142" s="14"/>
      <c r="B142" s="320"/>
      <c r="C142" s="321"/>
      <c r="D142" s="321"/>
      <c r="E142" s="321"/>
      <c r="F142" s="321"/>
      <c r="G142" s="321"/>
      <c r="H142" s="321"/>
      <c r="I142" s="321"/>
      <c r="J142" s="321"/>
      <c r="K142" s="321"/>
      <c r="L142" s="322"/>
      <c r="O142" s="13"/>
    </row>
    <row r="143" spans="1:16" s="12" customFormat="1" x14ac:dyDescent="0.25">
      <c r="A143" s="14"/>
      <c r="B143" s="672" t="str">
        <f>IF(Intro!$G$21="English",O143,P143)</f>
        <v>NOTE :</v>
      </c>
      <c r="C143" s="673"/>
      <c r="D143" s="673"/>
      <c r="E143" s="673"/>
      <c r="F143" s="673"/>
      <c r="G143" s="673"/>
      <c r="H143" s="673"/>
      <c r="I143" s="673"/>
      <c r="J143" s="673"/>
      <c r="K143" s="673"/>
      <c r="L143" s="674"/>
      <c r="O143" s="13" t="s">
        <v>100</v>
      </c>
      <c r="P143" s="12" t="s">
        <v>101</v>
      </c>
    </row>
    <row r="144" spans="1:16" s="12" customFormat="1" x14ac:dyDescent="0.25">
      <c r="A144" s="14"/>
      <c r="B144" s="672" t="str">
        <f>IF(Intro!$G$21="English",O144,P144)</f>
        <v>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v>
      </c>
      <c r="C144" s="673"/>
      <c r="D144" s="673"/>
      <c r="E144" s="673"/>
      <c r="F144" s="673"/>
      <c r="G144" s="673"/>
      <c r="H144" s="673"/>
      <c r="I144" s="673"/>
      <c r="J144" s="673"/>
      <c r="K144" s="673"/>
      <c r="L144" s="674"/>
      <c r="O144" s="13" t="s">
        <v>381</v>
      </c>
      <c r="P144" s="12" t="s">
        <v>382</v>
      </c>
    </row>
    <row r="145" spans="1:16" s="12" customFormat="1" x14ac:dyDescent="0.25">
      <c r="A145" s="14"/>
      <c r="B145" s="672"/>
      <c r="C145" s="673"/>
      <c r="D145" s="673"/>
      <c r="E145" s="673"/>
      <c r="F145" s="673"/>
      <c r="G145" s="673"/>
      <c r="H145" s="673"/>
      <c r="I145" s="673"/>
      <c r="J145" s="673"/>
      <c r="K145" s="673"/>
      <c r="L145" s="674"/>
      <c r="O145" s="13"/>
    </row>
    <row r="146" spans="1:16" s="12" customFormat="1" x14ac:dyDescent="0.25">
      <c r="A146" s="14"/>
      <c r="B146" s="672"/>
      <c r="C146" s="673"/>
      <c r="D146" s="673"/>
      <c r="E146" s="673"/>
      <c r="F146" s="673"/>
      <c r="G146" s="673"/>
      <c r="H146" s="673"/>
      <c r="I146" s="673"/>
      <c r="J146" s="673"/>
      <c r="K146" s="673"/>
      <c r="L146" s="674"/>
      <c r="O146" s="13"/>
    </row>
    <row r="147" spans="1:16" s="12" customFormat="1" x14ac:dyDescent="0.25">
      <c r="A147" s="14"/>
      <c r="B147" s="672"/>
      <c r="C147" s="673"/>
      <c r="D147" s="673"/>
      <c r="E147" s="673"/>
      <c r="F147" s="673"/>
      <c r="G147" s="673"/>
      <c r="H147" s="673"/>
      <c r="I147" s="673"/>
      <c r="J147" s="673"/>
      <c r="K147" s="673"/>
      <c r="L147" s="674"/>
      <c r="O147" s="13"/>
    </row>
    <row r="148" spans="1:16" s="12" customFormat="1" x14ac:dyDescent="0.25">
      <c r="A148" s="14"/>
      <c r="B148" s="320"/>
      <c r="C148" s="321"/>
      <c r="D148" s="321"/>
      <c r="E148" s="321"/>
      <c r="F148" s="321"/>
      <c r="G148" s="321"/>
      <c r="H148" s="321"/>
      <c r="I148" s="321"/>
      <c r="J148" s="321"/>
      <c r="K148" s="321"/>
      <c r="L148" s="322"/>
      <c r="O148" s="13"/>
    </row>
    <row r="149" spans="1:16" s="12" customFormat="1" x14ac:dyDescent="0.25">
      <c r="A149" s="14"/>
      <c r="B149" s="672" t="str">
        <f>IF(Intro!$G$21="English",O149,P149)</f>
        <v>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v>
      </c>
      <c r="C149" s="673"/>
      <c r="D149" s="673"/>
      <c r="E149" s="673"/>
      <c r="F149" s="673"/>
      <c r="G149" s="673"/>
      <c r="H149" s="673"/>
      <c r="I149" s="673"/>
      <c r="J149" s="673"/>
      <c r="K149" s="673"/>
      <c r="L149" s="674"/>
      <c r="O149" s="13" t="s">
        <v>276</v>
      </c>
      <c r="P149" s="12" t="s">
        <v>112</v>
      </c>
    </row>
    <row r="150" spans="1:16" s="12" customFormat="1" x14ac:dyDescent="0.25">
      <c r="A150" s="14"/>
      <c r="B150" s="672"/>
      <c r="C150" s="673"/>
      <c r="D150" s="673"/>
      <c r="E150" s="673"/>
      <c r="F150" s="673"/>
      <c r="G150" s="673"/>
      <c r="H150" s="673"/>
      <c r="I150" s="673"/>
      <c r="J150" s="673"/>
      <c r="K150" s="673"/>
      <c r="L150" s="674"/>
      <c r="O150" s="13"/>
    </row>
    <row r="151" spans="1:16" s="12" customFormat="1" x14ac:dyDescent="0.25">
      <c r="A151" s="14"/>
      <c r="B151" s="672"/>
      <c r="C151" s="673"/>
      <c r="D151" s="673"/>
      <c r="E151" s="673"/>
      <c r="F151" s="673"/>
      <c r="G151" s="673"/>
      <c r="H151" s="673"/>
      <c r="I151" s="673"/>
      <c r="J151" s="673"/>
      <c r="K151" s="673"/>
      <c r="L151" s="674"/>
      <c r="O151" s="13"/>
    </row>
    <row r="152" spans="1:16" s="12" customFormat="1" x14ac:dyDescent="0.25">
      <c r="A152" s="14"/>
      <c r="B152" s="672"/>
      <c r="C152" s="673"/>
      <c r="D152" s="673"/>
      <c r="E152" s="673"/>
      <c r="F152" s="673"/>
      <c r="G152" s="673"/>
      <c r="H152" s="673"/>
      <c r="I152" s="673"/>
      <c r="J152" s="673"/>
      <c r="K152" s="673"/>
      <c r="L152" s="674"/>
      <c r="O152" s="13"/>
    </row>
    <row r="153" spans="1:16" s="12" customFormat="1" x14ac:dyDescent="0.25">
      <c r="A153" s="14"/>
      <c r="B153" s="939"/>
      <c r="C153" s="940"/>
      <c r="D153" s="940"/>
      <c r="E153" s="940"/>
      <c r="F153" s="940"/>
      <c r="G153" s="940"/>
      <c r="H153" s="940"/>
      <c r="I153" s="940"/>
      <c r="J153" s="940"/>
      <c r="K153" s="940"/>
      <c r="L153" s="941"/>
      <c r="O153" s="13"/>
    </row>
    <row r="154" spans="1:16" s="12" customFormat="1" x14ac:dyDescent="0.25">
      <c r="A154" s="14"/>
      <c r="B154" s="320"/>
      <c r="C154" s="321"/>
      <c r="D154" s="33"/>
      <c r="E154" s="33"/>
      <c r="F154" s="33"/>
      <c r="G154" s="33"/>
      <c r="H154" s="33"/>
      <c r="I154" s="33"/>
      <c r="J154" s="33"/>
      <c r="K154" s="33"/>
      <c r="L154" s="34"/>
      <c r="O154" s="13"/>
    </row>
    <row r="155" spans="1:16" s="12" customFormat="1" x14ac:dyDescent="0.25">
      <c r="A155" s="14"/>
      <c r="B155" s="299" t="str">
        <f>IF(Intro!$G$21="English",O155,P155)</f>
        <v>Allegation</v>
      </c>
      <c r="C155" s="932">
        <v>1</v>
      </c>
      <c r="D155" s="933"/>
      <c r="E155" s="932">
        <v>2</v>
      </c>
      <c r="F155" s="933"/>
      <c r="G155" s="932">
        <v>3</v>
      </c>
      <c r="H155" s="933"/>
      <c r="I155" s="932">
        <v>4</v>
      </c>
      <c r="J155" s="933"/>
      <c r="K155" s="932">
        <v>5</v>
      </c>
      <c r="L155" s="934"/>
      <c r="O155" s="13" t="s">
        <v>275</v>
      </c>
      <c r="P155" s="12" t="s">
        <v>275</v>
      </c>
    </row>
    <row r="156" spans="1:16" s="25" customFormat="1" x14ac:dyDescent="0.25">
      <c r="A156" s="24"/>
      <c r="B156" s="935" t="str">
        <f>IF(Intro!$G$21="English",O156,P156)</f>
        <v>Renseignements généraux</v>
      </c>
      <c r="C156" s="936"/>
      <c r="D156" s="937"/>
      <c r="E156" s="937"/>
      <c r="F156" s="937"/>
      <c r="G156" s="937"/>
      <c r="H156" s="937"/>
      <c r="I156" s="937"/>
      <c r="J156" s="937"/>
      <c r="K156" s="937"/>
      <c r="L156" s="938"/>
      <c r="O156" s="4" t="s">
        <v>277</v>
      </c>
      <c r="P156" s="25" t="s">
        <v>278</v>
      </c>
    </row>
    <row r="157" spans="1:16" s="157" customFormat="1" x14ac:dyDescent="0.25">
      <c r="A157" s="200"/>
      <c r="B157" s="682" t="str">
        <f>IF(Intro!$G$21="English",O157,P157)</f>
        <v>Nom du client (LD)</v>
      </c>
      <c r="C157" s="920"/>
      <c r="D157" s="921"/>
      <c r="E157" s="920"/>
      <c r="F157" s="921"/>
      <c r="G157" s="920"/>
      <c r="H157" s="921"/>
      <c r="I157" s="920"/>
      <c r="J157" s="921"/>
      <c r="K157" s="920"/>
      <c r="L157" s="924"/>
      <c r="O157" s="157" t="s">
        <v>279</v>
      </c>
      <c r="P157" s="157" t="s">
        <v>280</v>
      </c>
    </row>
    <row r="158" spans="1:16" s="157" customFormat="1" x14ac:dyDescent="0.25">
      <c r="A158" s="200"/>
      <c r="B158" s="686"/>
      <c r="C158" s="922"/>
      <c r="D158" s="923"/>
      <c r="E158" s="922"/>
      <c r="F158" s="923"/>
      <c r="G158" s="922"/>
      <c r="H158" s="923"/>
      <c r="I158" s="922"/>
      <c r="J158" s="923"/>
      <c r="K158" s="922"/>
      <c r="L158" s="925"/>
    </row>
    <row r="159" spans="1:16" s="157" customFormat="1" x14ac:dyDescent="0.25">
      <c r="A159" s="200"/>
      <c r="B159" s="682" t="str">
        <f>IF(Intro!$G$21="English",O159,P159)</f>
        <v>Adresse (LD)</v>
      </c>
      <c r="C159" s="920"/>
      <c r="D159" s="921"/>
      <c r="E159" s="920"/>
      <c r="F159" s="921"/>
      <c r="G159" s="920"/>
      <c r="H159" s="921"/>
      <c r="I159" s="920"/>
      <c r="J159" s="921"/>
      <c r="K159" s="920"/>
      <c r="L159" s="924"/>
      <c r="O159" s="157" t="s">
        <v>281</v>
      </c>
      <c r="P159" s="157" t="s">
        <v>282</v>
      </c>
    </row>
    <row r="160" spans="1:16" s="157" customFormat="1" x14ac:dyDescent="0.25">
      <c r="A160" s="200"/>
      <c r="B160" s="686"/>
      <c r="C160" s="922"/>
      <c r="D160" s="923"/>
      <c r="E160" s="922"/>
      <c r="F160" s="923"/>
      <c r="G160" s="922"/>
      <c r="H160" s="923"/>
      <c r="I160" s="922"/>
      <c r="J160" s="923"/>
      <c r="K160" s="922"/>
      <c r="L160" s="925"/>
    </row>
    <row r="161" spans="1:19" s="157" customFormat="1" x14ac:dyDescent="0.25">
      <c r="A161" s="200"/>
      <c r="B161" s="682" t="str">
        <f>IF(Intro!$G$21="English",O161,P161)</f>
        <v>Niveau commercial (LD)</v>
      </c>
      <c r="C161" s="920"/>
      <c r="D161" s="921"/>
      <c r="E161" s="920"/>
      <c r="F161" s="921"/>
      <c r="G161" s="920"/>
      <c r="H161" s="921"/>
      <c r="I161" s="920"/>
      <c r="J161" s="921"/>
      <c r="K161" s="920"/>
      <c r="L161" s="924"/>
      <c r="O161" s="157" t="s">
        <v>283</v>
      </c>
      <c r="P161" s="157" t="s">
        <v>636</v>
      </c>
    </row>
    <row r="162" spans="1:19" s="157" customFormat="1" ht="31.5" customHeight="1" x14ac:dyDescent="0.25">
      <c r="A162" s="200"/>
      <c r="B162" s="686"/>
      <c r="C162" s="922"/>
      <c r="D162" s="923"/>
      <c r="E162" s="922"/>
      <c r="F162" s="923"/>
      <c r="G162" s="922"/>
      <c r="H162" s="923"/>
      <c r="I162" s="922"/>
      <c r="J162" s="923"/>
      <c r="K162" s="922"/>
      <c r="L162" s="925"/>
    </row>
    <row r="163" spans="1:19" s="157" customFormat="1" x14ac:dyDescent="0.25">
      <c r="A163" s="200"/>
      <c r="B163" s="682" t="str">
        <f>IF(Intro!$G$21="English",O163,P163)</f>
        <v>Nature du dommage allégué (P)</v>
      </c>
      <c r="C163" s="920"/>
      <c r="D163" s="921"/>
      <c r="E163" s="920"/>
      <c r="F163" s="921"/>
      <c r="G163" s="920"/>
      <c r="H163" s="921"/>
      <c r="I163" s="920"/>
      <c r="J163" s="921"/>
      <c r="K163" s="920"/>
      <c r="L163" s="924"/>
      <c r="O163" s="157" t="s">
        <v>145</v>
      </c>
      <c r="P163" s="157" t="s">
        <v>146</v>
      </c>
    </row>
    <row r="164" spans="1:19" s="157" customFormat="1" x14ac:dyDescent="0.25">
      <c r="A164" s="200"/>
      <c r="B164" s="684"/>
      <c r="C164" s="926"/>
      <c r="D164" s="927"/>
      <c r="E164" s="926"/>
      <c r="F164" s="927"/>
      <c r="G164" s="926"/>
      <c r="H164" s="927"/>
      <c r="I164" s="926"/>
      <c r="J164" s="927"/>
      <c r="K164" s="926"/>
      <c r="L164" s="928"/>
    </row>
    <row r="165" spans="1:19" s="157" customFormat="1" x14ac:dyDescent="0.25">
      <c r="A165" s="200"/>
      <c r="B165" s="686"/>
      <c r="C165" s="922"/>
      <c r="D165" s="923"/>
      <c r="E165" s="922"/>
      <c r="F165" s="923"/>
      <c r="G165" s="922"/>
      <c r="H165" s="923"/>
      <c r="I165" s="922"/>
      <c r="J165" s="923"/>
      <c r="K165" s="922"/>
      <c r="L165" s="925"/>
    </row>
    <row r="166" spans="1:19" s="25" customFormat="1" x14ac:dyDescent="0.25">
      <c r="A166" s="200"/>
      <c r="B166" s="935" t="str">
        <f>IF(Intro!$G$21="English",O166,P166)</f>
        <v>Offre du producteur national</v>
      </c>
      <c r="C166" s="936"/>
      <c r="D166" s="937"/>
      <c r="E166" s="937"/>
      <c r="F166" s="937"/>
      <c r="G166" s="937"/>
      <c r="H166" s="937"/>
      <c r="I166" s="937"/>
      <c r="J166" s="937"/>
      <c r="K166" s="937"/>
      <c r="L166" s="938"/>
      <c r="O166" s="4" t="s">
        <v>284</v>
      </c>
      <c r="P166" s="4" t="s">
        <v>285</v>
      </c>
      <c r="Q166" s="4"/>
      <c r="R166" s="4"/>
      <c r="S166" s="4"/>
    </row>
    <row r="167" spans="1:19" s="157" customFormat="1" x14ac:dyDescent="0.25">
      <c r="A167" s="200"/>
      <c r="B167" s="682" t="str">
        <f>IF(Intro!$G$21="English",O167,P167)</f>
        <v>Description du produit (P)</v>
      </c>
      <c r="C167" s="920"/>
      <c r="D167" s="921"/>
      <c r="E167" s="920"/>
      <c r="F167" s="921"/>
      <c r="G167" s="920"/>
      <c r="H167" s="921"/>
      <c r="I167" s="920"/>
      <c r="J167" s="921"/>
      <c r="K167" s="920"/>
      <c r="L167" s="924"/>
      <c r="O167" s="157" t="s">
        <v>147</v>
      </c>
      <c r="P167" s="157" t="s">
        <v>148</v>
      </c>
    </row>
    <row r="168" spans="1:19" s="157" customFormat="1" x14ac:dyDescent="0.25">
      <c r="A168" s="200"/>
      <c r="B168" s="684"/>
      <c r="C168" s="926"/>
      <c r="D168" s="927"/>
      <c r="E168" s="926"/>
      <c r="F168" s="927"/>
      <c r="G168" s="926"/>
      <c r="H168" s="927"/>
      <c r="I168" s="926"/>
      <c r="J168" s="927"/>
      <c r="K168" s="926"/>
      <c r="L168" s="928"/>
    </row>
    <row r="169" spans="1:19" s="157" customFormat="1" x14ac:dyDescent="0.25">
      <c r="A169" s="200"/>
      <c r="B169" s="684"/>
      <c r="C169" s="926"/>
      <c r="D169" s="927"/>
      <c r="E169" s="926"/>
      <c r="F169" s="927"/>
      <c r="G169" s="926"/>
      <c r="H169" s="927"/>
      <c r="I169" s="926"/>
      <c r="J169" s="927"/>
      <c r="K169" s="926"/>
      <c r="L169" s="928"/>
    </row>
    <row r="170" spans="1:19" s="157" customFormat="1" x14ac:dyDescent="0.25">
      <c r="A170" s="200"/>
      <c r="B170" s="686"/>
      <c r="C170" s="922"/>
      <c r="D170" s="923"/>
      <c r="E170" s="922"/>
      <c r="F170" s="923"/>
      <c r="G170" s="922"/>
      <c r="H170" s="923"/>
      <c r="I170" s="922"/>
      <c r="J170" s="923"/>
      <c r="K170" s="922"/>
      <c r="L170" s="925"/>
    </row>
    <row r="171" spans="1:19" s="157" customFormat="1" x14ac:dyDescent="0.25">
      <c r="A171" s="200"/>
      <c r="B171" s="682" t="str">
        <f>IF(Intro!$G$21="English",O171,P171)</f>
        <v>Date de la transaction (P)</v>
      </c>
      <c r="C171" s="920"/>
      <c r="D171" s="921"/>
      <c r="E171" s="920"/>
      <c r="F171" s="921"/>
      <c r="G171" s="920"/>
      <c r="H171" s="921"/>
      <c r="I171" s="920"/>
      <c r="J171" s="921"/>
      <c r="K171" s="920"/>
      <c r="L171" s="924"/>
      <c r="O171" s="157" t="s">
        <v>149</v>
      </c>
      <c r="P171" s="157" t="s">
        <v>150</v>
      </c>
    </row>
    <row r="172" spans="1:19" s="157" customFormat="1" ht="30.75" customHeight="1" x14ac:dyDescent="0.25">
      <c r="A172" s="200"/>
      <c r="B172" s="686"/>
      <c r="C172" s="922"/>
      <c r="D172" s="923"/>
      <c r="E172" s="922"/>
      <c r="F172" s="923"/>
      <c r="G172" s="922"/>
      <c r="H172" s="923"/>
      <c r="I172" s="922"/>
      <c r="J172" s="923"/>
      <c r="K172" s="922"/>
      <c r="L172" s="925"/>
    </row>
    <row r="173" spans="1:19" s="157" customFormat="1" x14ac:dyDescent="0.25">
      <c r="A173" s="200"/>
      <c r="B173" s="682" t="str">
        <f>IF(Intro!$G$21="English",O173,P173)</f>
        <v>Volume offert (pièces)</v>
      </c>
      <c r="C173" s="920"/>
      <c r="D173" s="921"/>
      <c r="E173" s="920"/>
      <c r="F173" s="921"/>
      <c r="G173" s="920"/>
      <c r="H173" s="921"/>
      <c r="I173" s="920"/>
      <c r="J173" s="921"/>
      <c r="K173" s="920"/>
      <c r="L173" s="924"/>
      <c r="O173" s="157" t="str">
        <f>"Volume Offered ("&amp;Variables!B23&amp;")"</f>
        <v>Volume Offered (pieces)</v>
      </c>
      <c r="P173" s="157" t="str">
        <f>"Volume offert ("&amp;Variables!C23&amp;")"</f>
        <v>Volume offert (pièces)</v>
      </c>
    </row>
    <row r="174" spans="1:19" s="157" customFormat="1" x14ac:dyDescent="0.25">
      <c r="A174" s="200"/>
      <c r="B174" s="684"/>
      <c r="C174" s="926"/>
      <c r="D174" s="927"/>
      <c r="E174" s="926"/>
      <c r="F174" s="927"/>
      <c r="G174" s="926"/>
      <c r="H174" s="927"/>
      <c r="I174" s="926"/>
      <c r="J174" s="927"/>
      <c r="K174" s="926"/>
      <c r="L174" s="928"/>
    </row>
    <row r="175" spans="1:19" s="157" customFormat="1" x14ac:dyDescent="0.25">
      <c r="A175" s="200"/>
      <c r="B175" s="686"/>
      <c r="C175" s="922"/>
      <c r="D175" s="923"/>
      <c r="E175" s="922"/>
      <c r="F175" s="923"/>
      <c r="G175" s="922"/>
      <c r="H175" s="923"/>
      <c r="I175" s="922"/>
      <c r="J175" s="923"/>
      <c r="K175" s="922"/>
      <c r="L175" s="925"/>
    </row>
    <row r="176" spans="1:19" s="157" customFormat="1" x14ac:dyDescent="0.25">
      <c r="A176" s="200"/>
      <c r="B176" s="682" t="str">
        <f>IF(Intro!$G$21="English",O176,P176)</f>
        <v>Volume vendu (pièces)</v>
      </c>
      <c r="C176" s="920"/>
      <c r="D176" s="921"/>
      <c r="E176" s="920"/>
      <c r="F176" s="921"/>
      <c r="G176" s="920"/>
      <c r="H176" s="921"/>
      <c r="I176" s="920"/>
      <c r="J176" s="921"/>
      <c r="K176" s="920"/>
      <c r="L176" s="924"/>
      <c r="O176" s="157" t="str">
        <f>"Volume Sold ("&amp;Variables!B23&amp;")"</f>
        <v>Volume Sold (pieces)</v>
      </c>
      <c r="P176" s="157" t="str">
        <f>"Volume vendu ("&amp;Variables!C23&amp;")"</f>
        <v>Volume vendu (pièces)</v>
      </c>
    </row>
    <row r="177" spans="1:16" s="157" customFormat="1" ht="19.5" customHeight="1" x14ac:dyDescent="0.25">
      <c r="A177" s="200"/>
      <c r="B177" s="686"/>
      <c r="C177" s="922"/>
      <c r="D177" s="923"/>
      <c r="E177" s="922"/>
      <c r="F177" s="923"/>
      <c r="G177" s="922"/>
      <c r="H177" s="923"/>
      <c r="I177" s="922"/>
      <c r="J177" s="923"/>
      <c r="K177" s="922"/>
      <c r="L177" s="925"/>
    </row>
    <row r="178" spans="1:16" s="157" customFormat="1" x14ac:dyDescent="0.25">
      <c r="A178" s="200"/>
      <c r="B178" s="682" t="str">
        <f>IF(Intro!$G$21="English",O178,P178)</f>
        <v>Prix offert ($/pièce)</v>
      </c>
      <c r="C178" s="920"/>
      <c r="D178" s="921"/>
      <c r="E178" s="920"/>
      <c r="F178" s="921"/>
      <c r="G178" s="920"/>
      <c r="H178" s="921"/>
      <c r="I178" s="920"/>
      <c r="J178" s="921"/>
      <c r="K178" s="920"/>
      <c r="L178" s="924"/>
      <c r="O178" s="157" t="str">
        <f>"Price Offered ($/"&amp;Variables!B24&amp;")"</f>
        <v>Price Offered ($/piece)</v>
      </c>
      <c r="P178" s="157" t="str">
        <f>"Prix offert ($/"&amp;Variables!C24&amp;")"</f>
        <v>Prix offert ($/pièce)</v>
      </c>
    </row>
    <row r="179" spans="1:16" s="157" customFormat="1" ht="16.5" customHeight="1" x14ac:dyDescent="0.25">
      <c r="A179" s="200"/>
      <c r="B179" s="929"/>
      <c r="C179" s="922"/>
      <c r="D179" s="923"/>
      <c r="E179" s="922"/>
      <c r="F179" s="923"/>
      <c r="G179" s="922"/>
      <c r="H179" s="923"/>
      <c r="I179" s="922"/>
      <c r="J179" s="923"/>
      <c r="K179" s="922"/>
      <c r="L179" s="925"/>
    </row>
    <row r="180" spans="1:16" s="157" customFormat="1" x14ac:dyDescent="0.25">
      <c r="A180" s="200"/>
      <c r="B180" s="682" t="str">
        <f>IF(Intro!$G$21="English",O180,P180)</f>
        <v>Prix de la transaction ($/pièce)</v>
      </c>
      <c r="C180" s="920"/>
      <c r="D180" s="921"/>
      <c r="E180" s="920"/>
      <c r="F180" s="921"/>
      <c r="G180" s="920"/>
      <c r="H180" s="921"/>
      <c r="I180" s="920"/>
      <c r="J180" s="921"/>
      <c r="K180" s="920"/>
      <c r="L180" s="924"/>
      <c r="O180" s="157" t="str">
        <f>"Transaction Price ($/"&amp;Variables!B24&amp;")"</f>
        <v>Transaction Price ($/piece)</v>
      </c>
      <c r="P180" s="157" t="str">
        <f>"Prix de la transaction ($/"&amp;Variables!C24&amp;")"</f>
        <v>Prix de la transaction ($/pièce)</v>
      </c>
    </row>
    <row r="181" spans="1:16" s="157" customFormat="1" ht="32.25" customHeight="1" x14ac:dyDescent="0.25">
      <c r="A181" s="200"/>
      <c r="B181" s="686"/>
      <c r="C181" s="922"/>
      <c r="D181" s="923"/>
      <c r="E181" s="922"/>
      <c r="F181" s="923"/>
      <c r="G181" s="922"/>
      <c r="H181" s="923"/>
      <c r="I181" s="922"/>
      <c r="J181" s="923"/>
      <c r="K181" s="922"/>
      <c r="L181" s="925"/>
    </row>
    <row r="182" spans="1:16" s="25" customFormat="1" x14ac:dyDescent="0.25">
      <c r="A182" s="200"/>
      <c r="B182" s="935" t="str">
        <f>IF(Intro!$G$21="English",O182,P182)</f>
        <v>Offre du concurrent</v>
      </c>
      <c r="C182" s="936"/>
      <c r="D182" s="937"/>
      <c r="E182" s="937"/>
      <c r="F182" s="937"/>
      <c r="G182" s="937"/>
      <c r="H182" s="937"/>
      <c r="I182" s="937"/>
      <c r="J182" s="937"/>
      <c r="K182" s="937"/>
      <c r="L182" s="938"/>
      <c r="O182" s="4" t="s">
        <v>144</v>
      </c>
      <c r="P182" s="25" t="s">
        <v>286</v>
      </c>
    </row>
    <row r="183" spans="1:16" s="157" customFormat="1" x14ac:dyDescent="0.25">
      <c r="A183" s="200"/>
      <c r="B183" s="682" t="str">
        <f>IF(Intro!$G$21="English",O183,P183)</f>
        <v>Nom du concurrent (LD)</v>
      </c>
      <c r="C183" s="920"/>
      <c r="D183" s="921"/>
      <c r="E183" s="920"/>
      <c r="F183" s="921"/>
      <c r="G183" s="920"/>
      <c r="H183" s="921"/>
      <c r="I183" s="920"/>
      <c r="J183" s="921"/>
      <c r="K183" s="920"/>
      <c r="L183" s="924"/>
      <c r="O183" s="157" t="s">
        <v>287</v>
      </c>
      <c r="P183" s="157" t="s">
        <v>288</v>
      </c>
    </row>
    <row r="184" spans="1:16" s="157" customFormat="1" ht="33.75" customHeight="1" x14ac:dyDescent="0.25">
      <c r="A184" s="200"/>
      <c r="B184" s="686"/>
      <c r="C184" s="922"/>
      <c r="D184" s="923"/>
      <c r="E184" s="922"/>
      <c r="F184" s="923"/>
      <c r="G184" s="922"/>
      <c r="H184" s="923"/>
      <c r="I184" s="922"/>
      <c r="J184" s="923"/>
      <c r="K184" s="922"/>
      <c r="L184" s="925"/>
    </row>
    <row r="185" spans="1:16" s="157" customFormat="1" x14ac:dyDescent="0.25">
      <c r="A185" s="200"/>
      <c r="B185" s="682" t="str">
        <f>IF(Intro!$G$21="English",O185,P185)</f>
        <v>Description du produit (P)</v>
      </c>
      <c r="C185" s="920"/>
      <c r="D185" s="921"/>
      <c r="E185" s="920"/>
      <c r="F185" s="921"/>
      <c r="G185" s="920"/>
      <c r="H185" s="921"/>
      <c r="I185" s="920"/>
      <c r="J185" s="921"/>
      <c r="K185" s="920"/>
      <c r="L185" s="924"/>
      <c r="O185" s="157" t="s">
        <v>147</v>
      </c>
      <c r="P185" s="157" t="s">
        <v>148</v>
      </c>
    </row>
    <row r="186" spans="1:16" s="157" customFormat="1" x14ac:dyDescent="0.25">
      <c r="A186" s="200"/>
      <c r="B186" s="684"/>
      <c r="C186" s="926"/>
      <c r="D186" s="927"/>
      <c r="E186" s="926"/>
      <c r="F186" s="927"/>
      <c r="G186" s="926"/>
      <c r="H186" s="927"/>
      <c r="I186" s="926"/>
      <c r="J186" s="927"/>
      <c r="K186" s="926"/>
      <c r="L186" s="928"/>
    </row>
    <row r="187" spans="1:16" s="157" customFormat="1" x14ac:dyDescent="0.25">
      <c r="A187" s="200"/>
      <c r="B187" s="684"/>
      <c r="C187" s="926"/>
      <c r="D187" s="927"/>
      <c r="E187" s="926"/>
      <c r="F187" s="927"/>
      <c r="G187" s="926"/>
      <c r="H187" s="927"/>
      <c r="I187" s="926"/>
      <c r="J187" s="927"/>
      <c r="K187" s="926"/>
      <c r="L187" s="928"/>
    </row>
    <row r="188" spans="1:16" s="157" customFormat="1" x14ac:dyDescent="0.25">
      <c r="A188" s="200"/>
      <c r="B188" s="686"/>
      <c r="C188" s="922"/>
      <c r="D188" s="923"/>
      <c r="E188" s="922"/>
      <c r="F188" s="923"/>
      <c r="G188" s="922"/>
      <c r="H188" s="923"/>
      <c r="I188" s="922"/>
      <c r="J188" s="923"/>
      <c r="K188" s="922"/>
      <c r="L188" s="925"/>
    </row>
    <row r="189" spans="1:16" s="157" customFormat="1" x14ac:dyDescent="0.25">
      <c r="A189" s="200"/>
      <c r="B189" s="682" t="str">
        <f>IF(Intro!$G$21="English",O189,P189)</f>
        <v>Pays d'origine (P)</v>
      </c>
      <c r="C189" s="920"/>
      <c r="D189" s="921"/>
      <c r="E189" s="920"/>
      <c r="F189" s="921"/>
      <c r="G189" s="920"/>
      <c r="H189" s="921"/>
      <c r="I189" s="920"/>
      <c r="J189" s="921"/>
      <c r="K189" s="920"/>
      <c r="L189" s="924"/>
      <c r="O189" s="157" t="s">
        <v>151</v>
      </c>
      <c r="P189" s="157" t="s">
        <v>152</v>
      </c>
    </row>
    <row r="190" spans="1:16" s="157" customFormat="1" x14ac:dyDescent="0.25">
      <c r="A190" s="200"/>
      <c r="B190" s="686"/>
      <c r="C190" s="922"/>
      <c r="D190" s="923"/>
      <c r="E190" s="922"/>
      <c r="F190" s="923"/>
      <c r="G190" s="922"/>
      <c r="H190" s="923"/>
      <c r="I190" s="922"/>
      <c r="J190" s="923"/>
      <c r="K190" s="922"/>
      <c r="L190" s="925"/>
    </row>
    <row r="191" spans="1:16" s="157" customFormat="1" x14ac:dyDescent="0.25">
      <c r="A191" s="200"/>
      <c r="B191" s="682" t="str">
        <f>IF(Intro!$G$21="English",O191,P191)</f>
        <v>Volume offert (pièces) (LD)</v>
      </c>
      <c r="C191" s="920"/>
      <c r="D191" s="921"/>
      <c r="E191" s="920"/>
      <c r="F191" s="921"/>
      <c r="G191" s="920"/>
      <c r="H191" s="921"/>
      <c r="I191" s="920"/>
      <c r="J191" s="921"/>
      <c r="K191" s="920"/>
      <c r="L191" s="924"/>
      <c r="O191" s="157" t="str">
        <f>"Volume Offered ("&amp;Variables!B23&amp;") (LD)"</f>
        <v>Volume Offered (pieces) (LD)</v>
      </c>
      <c r="P191" s="157" t="str">
        <f>"Volume offert ("&amp;Variables!C23&amp;") (LD)"</f>
        <v>Volume offert (pièces) (LD)</v>
      </c>
    </row>
    <row r="192" spans="1:16" s="157" customFormat="1" ht="33.75" customHeight="1" x14ac:dyDescent="0.25">
      <c r="A192" s="200"/>
      <c r="B192" s="686"/>
      <c r="C192" s="922"/>
      <c r="D192" s="923"/>
      <c r="E192" s="922"/>
      <c r="F192" s="923"/>
      <c r="G192" s="922"/>
      <c r="H192" s="923"/>
      <c r="I192" s="922"/>
      <c r="J192" s="923"/>
      <c r="K192" s="922"/>
      <c r="L192" s="925"/>
    </row>
    <row r="193" spans="1:16" s="157" customFormat="1" x14ac:dyDescent="0.25">
      <c r="A193" s="200"/>
      <c r="B193" s="682" t="str">
        <f>IF(Intro!$G$21="English",O193,P193)</f>
        <v>Volume vendu (pièces) (LD)</v>
      </c>
      <c r="C193" s="920"/>
      <c r="D193" s="921"/>
      <c r="E193" s="920"/>
      <c r="F193" s="921"/>
      <c r="G193" s="920"/>
      <c r="H193" s="921"/>
      <c r="I193" s="920"/>
      <c r="J193" s="921"/>
      <c r="K193" s="920"/>
      <c r="L193" s="924"/>
      <c r="O193" s="157" t="str">
        <f>"Volume Sold ("&amp;Variables!B23&amp;") (LD)"</f>
        <v>Volume Sold (pieces) (LD)</v>
      </c>
      <c r="P193" s="157" t="str">
        <f>"Volume vendu ("&amp;Variables!C23&amp;") (LD)"</f>
        <v>Volume vendu (pièces) (LD)</v>
      </c>
    </row>
    <row r="194" spans="1:16" s="157" customFormat="1" x14ac:dyDescent="0.25">
      <c r="A194" s="200"/>
      <c r="B194" s="686"/>
      <c r="C194" s="922"/>
      <c r="D194" s="923"/>
      <c r="E194" s="922"/>
      <c r="F194" s="923"/>
      <c r="G194" s="922"/>
      <c r="H194" s="923"/>
      <c r="I194" s="922"/>
      <c r="J194" s="923"/>
      <c r="K194" s="922"/>
      <c r="L194" s="925"/>
    </row>
    <row r="195" spans="1:16" s="157" customFormat="1" x14ac:dyDescent="0.25">
      <c r="A195" s="200"/>
      <c r="B195" s="682" t="str">
        <f>IF(Intro!$G$21="English",O195,P195)</f>
        <v>Prix offert ($/pièce) (LD)</v>
      </c>
      <c r="C195" s="920"/>
      <c r="D195" s="921"/>
      <c r="E195" s="920"/>
      <c r="F195" s="921"/>
      <c r="G195" s="920"/>
      <c r="H195" s="921"/>
      <c r="I195" s="920"/>
      <c r="J195" s="921"/>
      <c r="K195" s="920"/>
      <c r="L195" s="924"/>
      <c r="O195" s="157" t="str">
        <f>"Price Offered ($/"&amp;Variables!B24&amp;") (LD)"</f>
        <v>Price Offered ($/piece) (LD)</v>
      </c>
      <c r="P195" s="157" t="str">
        <f>"Prix offert ($/"&amp;Variables!C24&amp;") (LD)"</f>
        <v>Prix offert ($/pièce) (LD)</v>
      </c>
    </row>
    <row r="196" spans="1:16" s="157" customFormat="1" x14ac:dyDescent="0.25">
      <c r="A196" s="200"/>
      <c r="B196" s="686"/>
      <c r="C196" s="922"/>
      <c r="D196" s="923"/>
      <c r="E196" s="922"/>
      <c r="F196" s="923"/>
      <c r="G196" s="922"/>
      <c r="H196" s="923"/>
      <c r="I196" s="922"/>
      <c r="J196" s="923"/>
      <c r="K196" s="922"/>
      <c r="L196" s="925"/>
    </row>
    <row r="197" spans="1:16" s="157" customFormat="1" x14ac:dyDescent="0.25">
      <c r="A197" s="200"/>
      <c r="B197" s="682" t="str">
        <f>IF(Intro!$G$21="English",O197,P197)</f>
        <v>Prix de la transaction ($/pièce) (LD)</v>
      </c>
      <c r="C197" s="920"/>
      <c r="D197" s="921"/>
      <c r="E197" s="920"/>
      <c r="F197" s="921"/>
      <c r="G197" s="920"/>
      <c r="H197" s="921"/>
      <c r="I197" s="920"/>
      <c r="J197" s="921"/>
      <c r="K197" s="920"/>
      <c r="L197" s="924"/>
      <c r="O197" s="157" t="str">
        <f>"Transaction Price ($/"&amp;Variables!B24&amp;") (LD)"</f>
        <v>Transaction Price ($/piece) (LD)</v>
      </c>
      <c r="P197" s="157" t="str">
        <f>"Prix de la transaction ($/"&amp;Variables!C24&amp;") (LD)"</f>
        <v>Prix de la transaction ($/pièce) (LD)</v>
      </c>
    </row>
    <row r="198" spans="1:16" s="157" customFormat="1" ht="29.25" customHeight="1" x14ac:dyDescent="0.25">
      <c r="A198" s="200"/>
      <c r="B198" s="686"/>
      <c r="C198" s="922"/>
      <c r="D198" s="923"/>
      <c r="E198" s="922"/>
      <c r="F198" s="923"/>
      <c r="G198" s="922"/>
      <c r="H198" s="923"/>
      <c r="I198" s="922"/>
      <c r="J198" s="923"/>
      <c r="K198" s="922"/>
      <c r="L198" s="925"/>
    </row>
    <row r="199" spans="1:16" s="12" customFormat="1" x14ac:dyDescent="0.25">
      <c r="A199" s="200"/>
      <c r="B199" s="320"/>
      <c r="C199" s="321"/>
      <c r="D199" s="33"/>
      <c r="E199" s="33"/>
      <c r="F199" s="33"/>
      <c r="G199" s="33"/>
      <c r="H199" s="33"/>
      <c r="I199" s="33"/>
      <c r="J199" s="33"/>
      <c r="K199" s="33"/>
      <c r="L199" s="34"/>
      <c r="O199" s="13"/>
    </row>
    <row r="200" spans="1:16" s="12" customFormat="1" x14ac:dyDescent="0.25">
      <c r="A200" s="200"/>
      <c r="B200" s="299" t="str">
        <f>B155</f>
        <v>Allegation</v>
      </c>
      <c r="C200" s="930">
        <v>6</v>
      </c>
      <c r="D200" s="931"/>
      <c r="E200" s="932">
        <v>7</v>
      </c>
      <c r="F200" s="933"/>
      <c r="G200" s="932">
        <v>8</v>
      </c>
      <c r="H200" s="933"/>
      <c r="I200" s="932">
        <v>9</v>
      </c>
      <c r="J200" s="933"/>
      <c r="K200" s="932">
        <v>10</v>
      </c>
      <c r="L200" s="934"/>
      <c r="O200" s="13"/>
    </row>
    <row r="201" spans="1:16" s="25" customFormat="1" x14ac:dyDescent="0.25">
      <c r="A201" s="24"/>
      <c r="B201" s="935" t="str">
        <f>B156</f>
        <v>Renseignements généraux</v>
      </c>
      <c r="C201" s="936"/>
      <c r="D201" s="937"/>
      <c r="E201" s="937"/>
      <c r="F201" s="937"/>
      <c r="G201" s="937"/>
      <c r="H201" s="937"/>
      <c r="I201" s="937"/>
      <c r="J201" s="937"/>
      <c r="K201" s="937"/>
      <c r="L201" s="938"/>
      <c r="O201" s="4"/>
    </row>
    <row r="202" spans="1:16" s="157" customFormat="1" x14ac:dyDescent="0.25">
      <c r="A202" s="200"/>
      <c r="B202" s="682" t="str">
        <f>B157</f>
        <v>Nom du client (LD)</v>
      </c>
      <c r="C202" s="920"/>
      <c r="D202" s="921"/>
      <c r="E202" s="920"/>
      <c r="F202" s="921"/>
      <c r="G202" s="920"/>
      <c r="H202" s="921"/>
      <c r="I202" s="920"/>
      <c r="J202" s="921"/>
      <c r="K202" s="920"/>
      <c r="L202" s="924"/>
    </row>
    <row r="203" spans="1:16" s="157" customFormat="1" x14ac:dyDescent="0.25">
      <c r="A203" s="200"/>
      <c r="B203" s="686"/>
      <c r="C203" s="922"/>
      <c r="D203" s="923"/>
      <c r="E203" s="922"/>
      <c r="F203" s="923"/>
      <c r="G203" s="922"/>
      <c r="H203" s="923"/>
      <c r="I203" s="922"/>
      <c r="J203" s="923"/>
      <c r="K203" s="922"/>
      <c r="L203" s="925"/>
    </row>
    <row r="204" spans="1:16" s="157" customFormat="1" x14ac:dyDescent="0.25">
      <c r="A204" s="200"/>
      <c r="B204" s="682" t="str">
        <f t="shared" ref="B204" si="0">B159</f>
        <v>Adresse (LD)</v>
      </c>
      <c r="C204" s="920"/>
      <c r="D204" s="921"/>
      <c r="E204" s="920"/>
      <c r="F204" s="921"/>
      <c r="G204" s="920"/>
      <c r="H204" s="921"/>
      <c r="I204" s="920"/>
      <c r="J204" s="921"/>
      <c r="K204" s="920"/>
      <c r="L204" s="924"/>
    </row>
    <row r="205" spans="1:16" s="157" customFormat="1" x14ac:dyDescent="0.25">
      <c r="A205" s="200"/>
      <c r="B205" s="686"/>
      <c r="C205" s="922"/>
      <c r="D205" s="923"/>
      <c r="E205" s="922"/>
      <c r="F205" s="923"/>
      <c r="G205" s="922"/>
      <c r="H205" s="923"/>
      <c r="I205" s="922"/>
      <c r="J205" s="923"/>
      <c r="K205" s="922"/>
      <c r="L205" s="925"/>
    </row>
    <row r="206" spans="1:16" s="157" customFormat="1" x14ac:dyDescent="0.25">
      <c r="A206" s="200"/>
      <c r="B206" s="682" t="str">
        <f t="shared" ref="B206" si="1">B161</f>
        <v>Niveau commercial (LD)</v>
      </c>
      <c r="C206" s="920"/>
      <c r="D206" s="921"/>
      <c r="E206" s="920"/>
      <c r="F206" s="921"/>
      <c r="G206" s="920"/>
      <c r="H206" s="921"/>
      <c r="I206" s="920"/>
      <c r="J206" s="921"/>
      <c r="K206" s="920"/>
      <c r="L206" s="924"/>
    </row>
    <row r="207" spans="1:16" s="157" customFormat="1" ht="36" customHeight="1" x14ac:dyDescent="0.25">
      <c r="A207" s="200"/>
      <c r="B207" s="686"/>
      <c r="C207" s="922"/>
      <c r="D207" s="923"/>
      <c r="E207" s="922"/>
      <c r="F207" s="923"/>
      <c r="G207" s="922"/>
      <c r="H207" s="923"/>
      <c r="I207" s="922"/>
      <c r="J207" s="923"/>
      <c r="K207" s="922"/>
      <c r="L207" s="925"/>
    </row>
    <row r="208" spans="1:16" s="157" customFormat="1" x14ac:dyDescent="0.25">
      <c r="A208" s="200"/>
      <c r="B208" s="682" t="str">
        <f>B163</f>
        <v>Nature du dommage allégué (P)</v>
      </c>
      <c r="C208" s="920"/>
      <c r="D208" s="921"/>
      <c r="E208" s="920"/>
      <c r="F208" s="921"/>
      <c r="G208" s="920"/>
      <c r="H208" s="921"/>
      <c r="I208" s="920"/>
      <c r="J208" s="921"/>
      <c r="K208" s="920"/>
      <c r="L208" s="924"/>
    </row>
    <row r="209" spans="1:19" s="157" customFormat="1" x14ac:dyDescent="0.25">
      <c r="A209" s="200"/>
      <c r="B209" s="684"/>
      <c r="C209" s="926"/>
      <c r="D209" s="927"/>
      <c r="E209" s="926"/>
      <c r="F209" s="927"/>
      <c r="G209" s="926"/>
      <c r="H209" s="927"/>
      <c r="I209" s="926"/>
      <c r="J209" s="927"/>
      <c r="K209" s="926"/>
      <c r="L209" s="928"/>
    </row>
    <row r="210" spans="1:19" s="157" customFormat="1" x14ac:dyDescent="0.25">
      <c r="A210" s="200"/>
      <c r="B210" s="686"/>
      <c r="C210" s="922"/>
      <c r="D210" s="923"/>
      <c r="E210" s="922"/>
      <c r="F210" s="923"/>
      <c r="G210" s="922"/>
      <c r="H210" s="923"/>
      <c r="I210" s="922"/>
      <c r="J210" s="923"/>
      <c r="K210" s="922"/>
      <c r="L210" s="925"/>
    </row>
    <row r="211" spans="1:19" s="25" customFormat="1" x14ac:dyDescent="0.25">
      <c r="A211" s="200"/>
      <c r="B211" s="935" t="str">
        <f>B166</f>
        <v>Offre du producteur national</v>
      </c>
      <c r="C211" s="936"/>
      <c r="D211" s="937"/>
      <c r="E211" s="937"/>
      <c r="F211" s="937"/>
      <c r="G211" s="937"/>
      <c r="H211" s="937"/>
      <c r="I211" s="937"/>
      <c r="J211" s="937"/>
      <c r="K211" s="937"/>
      <c r="L211" s="938"/>
      <c r="O211" s="4"/>
      <c r="P211" s="4"/>
      <c r="Q211" s="4"/>
      <c r="R211" s="4"/>
      <c r="S211" s="4"/>
    </row>
    <row r="212" spans="1:19" s="157" customFormat="1" x14ac:dyDescent="0.25">
      <c r="A212" s="200"/>
      <c r="B212" s="682" t="str">
        <f>B167</f>
        <v>Description du produit (P)</v>
      </c>
      <c r="C212" s="920"/>
      <c r="D212" s="921"/>
      <c r="E212" s="920"/>
      <c r="F212" s="921"/>
      <c r="G212" s="920"/>
      <c r="H212" s="921"/>
      <c r="I212" s="920"/>
      <c r="J212" s="921"/>
      <c r="K212" s="920"/>
      <c r="L212" s="924"/>
    </row>
    <row r="213" spans="1:19" s="157" customFormat="1" x14ac:dyDescent="0.25">
      <c r="A213" s="200"/>
      <c r="B213" s="684"/>
      <c r="C213" s="926"/>
      <c r="D213" s="927"/>
      <c r="E213" s="926"/>
      <c r="F213" s="927"/>
      <c r="G213" s="926"/>
      <c r="H213" s="927"/>
      <c r="I213" s="926"/>
      <c r="J213" s="927"/>
      <c r="K213" s="926"/>
      <c r="L213" s="928"/>
    </row>
    <row r="214" spans="1:19" s="157" customFormat="1" x14ac:dyDescent="0.25">
      <c r="A214" s="200"/>
      <c r="B214" s="684"/>
      <c r="C214" s="926"/>
      <c r="D214" s="927"/>
      <c r="E214" s="926"/>
      <c r="F214" s="927"/>
      <c r="G214" s="926"/>
      <c r="H214" s="927"/>
      <c r="I214" s="926"/>
      <c r="J214" s="927"/>
      <c r="K214" s="926"/>
      <c r="L214" s="928"/>
    </row>
    <row r="215" spans="1:19" s="157" customFormat="1" x14ac:dyDescent="0.25">
      <c r="A215" s="200"/>
      <c r="B215" s="686"/>
      <c r="C215" s="922"/>
      <c r="D215" s="923"/>
      <c r="E215" s="922"/>
      <c r="F215" s="923"/>
      <c r="G215" s="922"/>
      <c r="H215" s="923"/>
      <c r="I215" s="922"/>
      <c r="J215" s="923"/>
      <c r="K215" s="922"/>
      <c r="L215" s="925"/>
    </row>
    <row r="216" spans="1:19" s="157" customFormat="1" x14ac:dyDescent="0.25">
      <c r="A216" s="200"/>
      <c r="B216" s="682" t="str">
        <f>B171</f>
        <v>Date de la transaction (P)</v>
      </c>
      <c r="C216" s="920"/>
      <c r="D216" s="921"/>
      <c r="E216" s="920"/>
      <c r="F216" s="921"/>
      <c r="G216" s="920"/>
      <c r="H216" s="921"/>
      <c r="I216" s="920"/>
      <c r="J216" s="921"/>
      <c r="K216" s="920"/>
      <c r="L216" s="924"/>
    </row>
    <row r="217" spans="1:19" s="157" customFormat="1" ht="30.75" customHeight="1" x14ac:dyDescent="0.25">
      <c r="A217" s="200"/>
      <c r="B217" s="686"/>
      <c r="C217" s="922"/>
      <c r="D217" s="923"/>
      <c r="E217" s="922"/>
      <c r="F217" s="923"/>
      <c r="G217" s="922"/>
      <c r="H217" s="923"/>
      <c r="I217" s="922"/>
      <c r="J217" s="923"/>
      <c r="K217" s="922"/>
      <c r="L217" s="925"/>
    </row>
    <row r="218" spans="1:19" s="157" customFormat="1" x14ac:dyDescent="0.25">
      <c r="A218" s="200"/>
      <c r="B218" s="682" t="str">
        <f>B173</f>
        <v>Volume offert (pièces)</v>
      </c>
      <c r="C218" s="920"/>
      <c r="D218" s="921"/>
      <c r="E218" s="920"/>
      <c r="F218" s="921"/>
      <c r="G218" s="920"/>
      <c r="H218" s="921"/>
      <c r="I218" s="920"/>
      <c r="J218" s="921"/>
      <c r="K218" s="920"/>
      <c r="L218" s="924"/>
    </row>
    <row r="219" spans="1:19" s="157" customFormat="1" x14ac:dyDescent="0.25">
      <c r="A219" s="200"/>
      <c r="B219" s="684"/>
      <c r="C219" s="926"/>
      <c r="D219" s="927"/>
      <c r="E219" s="926"/>
      <c r="F219" s="927"/>
      <c r="G219" s="926"/>
      <c r="H219" s="927"/>
      <c r="I219" s="926"/>
      <c r="J219" s="927"/>
      <c r="K219" s="926"/>
      <c r="L219" s="928"/>
    </row>
    <row r="220" spans="1:19" s="157" customFormat="1" ht="19.5" customHeight="1" x14ac:dyDescent="0.25">
      <c r="A220" s="200"/>
      <c r="B220" s="686"/>
      <c r="C220" s="922"/>
      <c r="D220" s="923"/>
      <c r="E220" s="922"/>
      <c r="F220" s="923"/>
      <c r="G220" s="922"/>
      <c r="H220" s="923"/>
      <c r="I220" s="922"/>
      <c r="J220" s="923"/>
      <c r="K220" s="922"/>
      <c r="L220" s="925"/>
    </row>
    <row r="221" spans="1:19" s="157" customFormat="1" x14ac:dyDescent="0.25">
      <c r="A221" s="200"/>
      <c r="B221" s="682" t="str">
        <f>B176</f>
        <v>Volume vendu (pièces)</v>
      </c>
      <c r="C221" s="920"/>
      <c r="D221" s="921"/>
      <c r="E221" s="920"/>
      <c r="F221" s="921"/>
      <c r="G221" s="920"/>
      <c r="H221" s="921"/>
      <c r="I221" s="920"/>
      <c r="J221" s="921"/>
      <c r="K221" s="920"/>
      <c r="L221" s="924"/>
    </row>
    <row r="222" spans="1:19" s="157" customFormat="1" ht="23.25" customHeight="1" x14ac:dyDescent="0.25">
      <c r="A222" s="200"/>
      <c r="B222" s="686"/>
      <c r="C222" s="922"/>
      <c r="D222" s="923"/>
      <c r="E222" s="922"/>
      <c r="F222" s="923"/>
      <c r="G222" s="922"/>
      <c r="H222" s="923"/>
      <c r="I222" s="922"/>
      <c r="J222" s="923"/>
      <c r="K222" s="922"/>
      <c r="L222" s="925"/>
    </row>
    <row r="223" spans="1:19" s="157" customFormat="1" x14ac:dyDescent="0.25">
      <c r="A223" s="200"/>
      <c r="B223" s="682" t="str">
        <f t="shared" ref="B223" si="2">B178</f>
        <v>Prix offert ($/pièce)</v>
      </c>
      <c r="C223" s="920"/>
      <c r="D223" s="921"/>
      <c r="E223" s="920"/>
      <c r="F223" s="921"/>
      <c r="G223" s="920"/>
      <c r="H223" s="921"/>
      <c r="I223" s="920"/>
      <c r="J223" s="921"/>
      <c r="K223" s="920"/>
      <c r="L223" s="924"/>
    </row>
    <row r="224" spans="1:19" s="157" customFormat="1" ht="21" customHeight="1" x14ac:dyDescent="0.25">
      <c r="A224" s="200"/>
      <c r="B224" s="686"/>
      <c r="C224" s="922"/>
      <c r="D224" s="923"/>
      <c r="E224" s="922"/>
      <c r="F224" s="923"/>
      <c r="G224" s="922"/>
      <c r="H224" s="923"/>
      <c r="I224" s="922"/>
      <c r="J224" s="923"/>
      <c r="K224" s="922"/>
      <c r="L224" s="925"/>
    </row>
    <row r="225" spans="1:15" s="157" customFormat="1" x14ac:dyDescent="0.25">
      <c r="A225" s="200"/>
      <c r="B225" s="682" t="str">
        <f>B180</f>
        <v>Prix de la transaction ($/pièce)</v>
      </c>
      <c r="C225" s="920"/>
      <c r="D225" s="921"/>
      <c r="E225" s="920"/>
      <c r="F225" s="921"/>
      <c r="G225" s="920"/>
      <c r="H225" s="921"/>
      <c r="I225" s="920"/>
      <c r="J225" s="921"/>
      <c r="K225" s="920"/>
      <c r="L225" s="924"/>
    </row>
    <row r="226" spans="1:15" s="157" customFormat="1" ht="33.75" customHeight="1" x14ac:dyDescent="0.25">
      <c r="A226" s="200"/>
      <c r="B226" s="686"/>
      <c r="C226" s="922"/>
      <c r="D226" s="923"/>
      <c r="E226" s="922"/>
      <c r="F226" s="923"/>
      <c r="G226" s="922"/>
      <c r="H226" s="923"/>
      <c r="I226" s="922"/>
      <c r="J226" s="923"/>
      <c r="K226" s="922"/>
      <c r="L226" s="925"/>
    </row>
    <row r="227" spans="1:15" s="25" customFormat="1" x14ac:dyDescent="0.25">
      <c r="A227" s="200"/>
      <c r="B227" s="935" t="str">
        <f>B182</f>
        <v>Offre du concurrent</v>
      </c>
      <c r="C227" s="936"/>
      <c r="D227" s="937"/>
      <c r="E227" s="937"/>
      <c r="F227" s="937"/>
      <c r="G227" s="937"/>
      <c r="H227" s="937"/>
      <c r="I227" s="937"/>
      <c r="J227" s="937"/>
      <c r="K227" s="937"/>
      <c r="L227" s="938"/>
      <c r="O227" s="4"/>
    </row>
    <row r="228" spans="1:15" s="157" customFormat="1" x14ac:dyDescent="0.25">
      <c r="A228" s="200"/>
      <c r="B228" s="682" t="str">
        <f>B183</f>
        <v>Nom du concurrent (LD)</v>
      </c>
      <c r="C228" s="920"/>
      <c r="D228" s="921"/>
      <c r="E228" s="920"/>
      <c r="F228" s="921"/>
      <c r="G228" s="920"/>
      <c r="H228" s="921"/>
      <c r="I228" s="920"/>
      <c r="J228" s="921"/>
      <c r="K228" s="920"/>
      <c r="L228" s="924"/>
    </row>
    <row r="229" spans="1:15" s="157" customFormat="1" ht="30.75" customHeight="1" x14ac:dyDescent="0.25">
      <c r="A229" s="200"/>
      <c r="B229" s="686"/>
      <c r="C229" s="922"/>
      <c r="D229" s="923"/>
      <c r="E229" s="922"/>
      <c r="F229" s="923"/>
      <c r="G229" s="922"/>
      <c r="H229" s="923"/>
      <c r="I229" s="922"/>
      <c r="J229" s="923"/>
      <c r="K229" s="922"/>
      <c r="L229" s="925"/>
    </row>
    <row r="230" spans="1:15" s="157" customFormat="1" x14ac:dyDescent="0.25">
      <c r="A230" s="200"/>
      <c r="B230" s="682" t="str">
        <f>B185</f>
        <v>Description du produit (P)</v>
      </c>
      <c r="C230" s="920"/>
      <c r="D230" s="921"/>
      <c r="E230" s="920"/>
      <c r="F230" s="921"/>
      <c r="G230" s="920"/>
      <c r="H230" s="921"/>
      <c r="I230" s="920"/>
      <c r="J230" s="921"/>
      <c r="K230" s="920"/>
      <c r="L230" s="924"/>
    </row>
    <row r="231" spans="1:15" s="157" customFormat="1" x14ac:dyDescent="0.25">
      <c r="A231" s="200"/>
      <c r="B231" s="684"/>
      <c r="C231" s="926"/>
      <c r="D231" s="927"/>
      <c r="E231" s="926"/>
      <c r="F231" s="927"/>
      <c r="G231" s="926"/>
      <c r="H231" s="927"/>
      <c r="I231" s="926"/>
      <c r="J231" s="927"/>
      <c r="K231" s="926"/>
      <c r="L231" s="928"/>
    </row>
    <row r="232" spans="1:15" s="157" customFormat="1" x14ac:dyDescent="0.25">
      <c r="A232" s="200"/>
      <c r="B232" s="684"/>
      <c r="C232" s="926"/>
      <c r="D232" s="927"/>
      <c r="E232" s="926"/>
      <c r="F232" s="927"/>
      <c r="G232" s="926"/>
      <c r="H232" s="927"/>
      <c r="I232" s="926"/>
      <c r="J232" s="927"/>
      <c r="K232" s="926"/>
      <c r="L232" s="928"/>
    </row>
    <row r="233" spans="1:15" s="157" customFormat="1" x14ac:dyDescent="0.25">
      <c r="A233" s="200"/>
      <c r="B233" s="686"/>
      <c r="C233" s="922"/>
      <c r="D233" s="923"/>
      <c r="E233" s="922"/>
      <c r="F233" s="923"/>
      <c r="G233" s="922"/>
      <c r="H233" s="923"/>
      <c r="I233" s="922"/>
      <c r="J233" s="923"/>
      <c r="K233" s="922"/>
      <c r="L233" s="925"/>
    </row>
    <row r="234" spans="1:15" s="157" customFormat="1" x14ac:dyDescent="0.25">
      <c r="A234" s="200"/>
      <c r="B234" s="682" t="str">
        <f>B189</f>
        <v>Pays d'origine (P)</v>
      </c>
      <c r="C234" s="920"/>
      <c r="D234" s="921"/>
      <c r="E234" s="920"/>
      <c r="F234" s="921"/>
      <c r="G234" s="920"/>
      <c r="H234" s="921"/>
      <c r="I234" s="920"/>
      <c r="J234" s="921"/>
      <c r="K234" s="920"/>
      <c r="L234" s="924"/>
    </row>
    <row r="235" spans="1:15" s="157" customFormat="1" x14ac:dyDescent="0.25">
      <c r="A235" s="200"/>
      <c r="B235" s="686"/>
      <c r="C235" s="922"/>
      <c r="D235" s="923"/>
      <c r="E235" s="922"/>
      <c r="F235" s="923"/>
      <c r="G235" s="922"/>
      <c r="H235" s="923"/>
      <c r="I235" s="922"/>
      <c r="J235" s="923"/>
      <c r="K235" s="922"/>
      <c r="L235" s="925"/>
    </row>
    <row r="236" spans="1:15" s="157" customFormat="1" x14ac:dyDescent="0.25">
      <c r="A236" s="200"/>
      <c r="B236" s="682" t="str">
        <f>B191</f>
        <v>Volume offert (pièces) (LD)</v>
      </c>
      <c r="C236" s="920"/>
      <c r="D236" s="921"/>
      <c r="E236" s="920"/>
      <c r="F236" s="921"/>
      <c r="G236" s="920"/>
      <c r="H236" s="921"/>
      <c r="I236" s="920"/>
      <c r="J236" s="921"/>
      <c r="K236" s="920"/>
      <c r="L236" s="924"/>
    </row>
    <row r="237" spans="1:15" s="157" customFormat="1" ht="34.5" customHeight="1" x14ac:dyDescent="0.25">
      <c r="A237" s="200"/>
      <c r="B237" s="686"/>
      <c r="C237" s="922"/>
      <c r="D237" s="923"/>
      <c r="E237" s="922"/>
      <c r="F237" s="923"/>
      <c r="G237" s="922"/>
      <c r="H237" s="923"/>
      <c r="I237" s="922"/>
      <c r="J237" s="923"/>
      <c r="K237" s="922"/>
      <c r="L237" s="925"/>
    </row>
    <row r="238" spans="1:15" s="157" customFormat="1" x14ac:dyDescent="0.25">
      <c r="A238" s="200"/>
      <c r="B238" s="682" t="str">
        <f>B193</f>
        <v>Volume vendu (pièces) (LD)</v>
      </c>
      <c r="C238" s="920"/>
      <c r="D238" s="921"/>
      <c r="E238" s="920"/>
      <c r="F238" s="921"/>
      <c r="G238" s="920"/>
      <c r="H238" s="921"/>
      <c r="I238" s="920"/>
      <c r="J238" s="921"/>
      <c r="K238" s="920"/>
      <c r="L238" s="924"/>
    </row>
    <row r="239" spans="1:15" s="157" customFormat="1" x14ac:dyDescent="0.25">
      <c r="A239" s="200"/>
      <c r="B239" s="686"/>
      <c r="C239" s="922"/>
      <c r="D239" s="923"/>
      <c r="E239" s="922"/>
      <c r="F239" s="923"/>
      <c r="G239" s="922"/>
      <c r="H239" s="923"/>
      <c r="I239" s="922"/>
      <c r="J239" s="923"/>
      <c r="K239" s="922"/>
      <c r="L239" s="925"/>
    </row>
    <row r="240" spans="1:15" s="157" customFormat="1" x14ac:dyDescent="0.25">
      <c r="A240" s="200"/>
      <c r="B240" s="682" t="str">
        <f>B195</f>
        <v>Prix offert ($/pièce) (LD)</v>
      </c>
      <c r="C240" s="920"/>
      <c r="D240" s="921"/>
      <c r="E240" s="920"/>
      <c r="F240" s="921"/>
      <c r="G240" s="920"/>
      <c r="H240" s="921"/>
      <c r="I240" s="920"/>
      <c r="J240" s="921"/>
      <c r="K240" s="920"/>
      <c r="L240" s="924"/>
    </row>
    <row r="241" spans="1:12" s="157" customFormat="1" x14ac:dyDescent="0.25">
      <c r="A241" s="200"/>
      <c r="B241" s="686"/>
      <c r="C241" s="922"/>
      <c r="D241" s="923"/>
      <c r="E241" s="922"/>
      <c r="F241" s="923"/>
      <c r="G241" s="922"/>
      <c r="H241" s="923"/>
      <c r="I241" s="922"/>
      <c r="J241" s="923"/>
      <c r="K241" s="922"/>
      <c r="L241" s="925"/>
    </row>
    <row r="242" spans="1:12" s="157" customFormat="1" x14ac:dyDescent="0.25">
      <c r="A242" s="200"/>
      <c r="B242" s="682" t="str">
        <f>B197</f>
        <v>Prix de la transaction ($/pièce) (LD)</v>
      </c>
      <c r="C242" s="920"/>
      <c r="D242" s="921"/>
      <c r="E242" s="920"/>
      <c r="F242" s="921"/>
      <c r="G242" s="920"/>
      <c r="H242" s="921"/>
      <c r="I242" s="920"/>
      <c r="J242" s="921"/>
      <c r="K242" s="920"/>
      <c r="L242" s="924"/>
    </row>
    <row r="243" spans="1:12" s="157" customFormat="1" ht="29.25" customHeight="1" x14ac:dyDescent="0.25">
      <c r="A243" s="200"/>
      <c r="B243" s="686"/>
      <c r="C243" s="922"/>
      <c r="D243" s="923"/>
      <c r="E243" s="922"/>
      <c r="F243" s="923"/>
      <c r="G243" s="922"/>
      <c r="H243" s="923"/>
      <c r="I243" s="922"/>
      <c r="J243" s="923"/>
      <c r="K243" s="922"/>
      <c r="L243" s="925"/>
    </row>
    <row r="244" spans="1:12" s="157" customFormat="1" x14ac:dyDescent="0.25">
      <c r="A244" s="200"/>
      <c r="B244" s="207"/>
      <c r="C244" s="208"/>
      <c r="D244" s="208"/>
      <c r="E244" s="208"/>
      <c r="F244" s="208"/>
      <c r="G244" s="208"/>
      <c r="H244" s="208"/>
      <c r="I244" s="208"/>
      <c r="J244" s="208"/>
      <c r="K244" s="208"/>
      <c r="L244" s="209"/>
    </row>
  </sheetData>
  <sheetProtection algorithmName="SHA-512" hashValue="DBWQVJ9FqHy3XsMY292jFV/shy68FlnXbM5PFuEtplxX8WDJ3q/3Vb3PoE03jhR4uZ1c1bxzNRWBhZ7OnwgJgQ==" saltValue="obdN5iq7SWejAxnRx3hDxg==" spinCount="100000" sheet="1" objects="1" scenarios="1" selectLockedCells="1"/>
  <mergeCells count="336">
    <mergeCell ref="D29:L38"/>
    <mergeCell ref="B13:L13"/>
    <mergeCell ref="B19:C21"/>
    <mergeCell ref="B22:C22"/>
    <mergeCell ref="B23:C23"/>
    <mergeCell ref="B28:C28"/>
    <mergeCell ref="B29:C31"/>
    <mergeCell ref="B32:C32"/>
    <mergeCell ref="B33:C33"/>
    <mergeCell ref="B38:C38"/>
    <mergeCell ref="B34:C34"/>
    <mergeCell ref="B35:C35"/>
    <mergeCell ref="B36:C36"/>
    <mergeCell ref="B37:C37"/>
    <mergeCell ref="B4:L4"/>
    <mergeCell ref="B5:L5"/>
    <mergeCell ref="B6:L6"/>
    <mergeCell ref="B8:L8"/>
    <mergeCell ref="B9:L9"/>
    <mergeCell ref="B10:L10"/>
    <mergeCell ref="B12:L12"/>
    <mergeCell ref="B15:L16"/>
    <mergeCell ref="D19:L28"/>
    <mergeCell ref="B24:C24"/>
    <mergeCell ref="B25:C25"/>
    <mergeCell ref="B26:C26"/>
    <mergeCell ref="B27:C27"/>
    <mergeCell ref="D69:L78"/>
    <mergeCell ref="D79:L88"/>
    <mergeCell ref="D89:L98"/>
    <mergeCell ref="D39:L48"/>
    <mergeCell ref="D49:L58"/>
    <mergeCell ref="D59:L68"/>
    <mergeCell ref="B133:L135"/>
    <mergeCell ref="B137:L138"/>
    <mergeCell ref="B140:L141"/>
    <mergeCell ref="D99:L108"/>
    <mergeCell ref="D109:L118"/>
    <mergeCell ref="D119:L128"/>
    <mergeCell ref="B130:L130"/>
    <mergeCell ref="B39:C41"/>
    <mergeCell ref="B42:C42"/>
    <mergeCell ref="B88:C88"/>
    <mergeCell ref="B85:C85"/>
    <mergeCell ref="B86:C86"/>
    <mergeCell ref="B87:C87"/>
    <mergeCell ref="B43:C43"/>
    <mergeCell ref="B48:C48"/>
    <mergeCell ref="B49:C51"/>
    <mergeCell ref="B52:C52"/>
    <mergeCell ref="B53:C53"/>
    <mergeCell ref="B157:B158"/>
    <mergeCell ref="B156:L156"/>
    <mergeCell ref="B159:B160"/>
    <mergeCell ref="B161:B162"/>
    <mergeCell ref="B191:B192"/>
    <mergeCell ref="B183:B184"/>
    <mergeCell ref="B185:B188"/>
    <mergeCell ref="B182:L182"/>
    <mergeCell ref="B143:L143"/>
    <mergeCell ref="B149:L153"/>
    <mergeCell ref="B144:L147"/>
    <mergeCell ref="I161:J162"/>
    <mergeCell ref="K161:L162"/>
    <mergeCell ref="G161:H162"/>
    <mergeCell ref="I185:J188"/>
    <mergeCell ref="K185:L188"/>
    <mergeCell ref="E191:F192"/>
    <mergeCell ref="G191:H192"/>
    <mergeCell ref="I191:J192"/>
    <mergeCell ref="K191:L192"/>
    <mergeCell ref="E176:F177"/>
    <mergeCell ref="G176:H177"/>
    <mergeCell ref="I176:J177"/>
    <mergeCell ref="K176:L177"/>
    <mergeCell ref="C204:D205"/>
    <mergeCell ref="C206:D207"/>
    <mergeCell ref="C208:D210"/>
    <mergeCell ref="B195:B196"/>
    <mergeCell ref="B201:L201"/>
    <mergeCell ref="B167:B170"/>
    <mergeCell ref="B197:B198"/>
    <mergeCell ref="B193:B194"/>
    <mergeCell ref="B163:B165"/>
    <mergeCell ref="B166:L166"/>
    <mergeCell ref="B180:B181"/>
    <mergeCell ref="E163:F165"/>
    <mergeCell ref="G163:H165"/>
    <mergeCell ref="I163:J165"/>
    <mergeCell ref="K163:L165"/>
    <mergeCell ref="C167:D170"/>
    <mergeCell ref="C163:D165"/>
    <mergeCell ref="C195:D196"/>
    <mergeCell ref="C191:D192"/>
    <mergeCell ref="C193:D194"/>
    <mergeCell ref="C197:D198"/>
    <mergeCell ref="E183:F184"/>
    <mergeCell ref="G183:H184"/>
    <mergeCell ref="I183:J184"/>
    <mergeCell ref="B242:B243"/>
    <mergeCell ref="B238:B239"/>
    <mergeCell ref="B236:B237"/>
    <mergeCell ref="B230:B233"/>
    <mergeCell ref="B227:L227"/>
    <mergeCell ref="B228:B229"/>
    <mergeCell ref="B225:B226"/>
    <mergeCell ref="C228:D229"/>
    <mergeCell ref="E228:F229"/>
    <mergeCell ref="G228:H229"/>
    <mergeCell ref="I228:J229"/>
    <mergeCell ref="K228:L229"/>
    <mergeCell ref="C230:D233"/>
    <mergeCell ref="E230:F233"/>
    <mergeCell ref="G230:H233"/>
    <mergeCell ref="I230:J233"/>
    <mergeCell ref="K230:L233"/>
    <mergeCell ref="C236:D237"/>
    <mergeCell ref="E236:F237"/>
    <mergeCell ref="G236:H237"/>
    <mergeCell ref="I236:J237"/>
    <mergeCell ref="K236:L237"/>
    <mergeCell ref="C225:D226"/>
    <mergeCell ref="E225:F226"/>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131:L131"/>
    <mergeCell ref="E167:F170"/>
    <mergeCell ref="G167:H170"/>
    <mergeCell ref="I167:J170"/>
    <mergeCell ref="K167:L170"/>
    <mergeCell ref="E180:F181"/>
    <mergeCell ref="G180:H181"/>
    <mergeCell ref="C155:D155"/>
    <mergeCell ref="E155:F155"/>
    <mergeCell ref="G155:H155"/>
    <mergeCell ref="I155:J155"/>
    <mergeCell ref="K155:L155"/>
    <mergeCell ref="C157:D158"/>
    <mergeCell ref="C159:D160"/>
    <mergeCell ref="C161:D162"/>
    <mergeCell ref="E157:F158"/>
    <mergeCell ref="G157:H158"/>
    <mergeCell ref="I157:J158"/>
    <mergeCell ref="K157:L158"/>
    <mergeCell ref="E159:F160"/>
    <mergeCell ref="G159:H160"/>
    <mergeCell ref="I159:J160"/>
    <mergeCell ref="K159:L160"/>
    <mergeCell ref="E161:F162"/>
    <mergeCell ref="E193:F194"/>
    <mergeCell ref="G193:H194"/>
    <mergeCell ref="I193:J194"/>
    <mergeCell ref="K193:L194"/>
    <mergeCell ref="E195:F196"/>
    <mergeCell ref="G195:H196"/>
    <mergeCell ref="I195:J196"/>
    <mergeCell ref="K195:L196"/>
    <mergeCell ref="G208:H210"/>
    <mergeCell ref="I208:J210"/>
    <mergeCell ref="K208:L210"/>
    <mergeCell ref="K206:L207"/>
    <mergeCell ref="E208:F210"/>
    <mergeCell ref="E202:F203"/>
    <mergeCell ref="G202:H203"/>
    <mergeCell ref="I202:J203"/>
    <mergeCell ref="K202:L203"/>
    <mergeCell ref="E204:F205"/>
    <mergeCell ref="G204:H205"/>
    <mergeCell ref="I204:J205"/>
    <mergeCell ref="K204:L205"/>
    <mergeCell ref="C212:D215"/>
    <mergeCell ref="E212:F215"/>
    <mergeCell ref="G212:H215"/>
    <mergeCell ref="I212:J215"/>
    <mergeCell ref="K212:L215"/>
    <mergeCell ref="E197:F198"/>
    <mergeCell ref="G197:H198"/>
    <mergeCell ref="I197:J198"/>
    <mergeCell ref="K197:L198"/>
    <mergeCell ref="C200:D200"/>
    <mergeCell ref="E200:F200"/>
    <mergeCell ref="G200:H200"/>
    <mergeCell ref="I200:J200"/>
    <mergeCell ref="K200:L200"/>
    <mergeCell ref="B211:L211"/>
    <mergeCell ref="B212:B215"/>
    <mergeCell ref="B208:B210"/>
    <mergeCell ref="B206:B207"/>
    <mergeCell ref="E206:F207"/>
    <mergeCell ref="G206:H207"/>
    <mergeCell ref="I206:J207"/>
    <mergeCell ref="B204:B205"/>
    <mergeCell ref="B202:B203"/>
    <mergeCell ref="C202:D203"/>
    <mergeCell ref="G225:H226"/>
    <mergeCell ref="I225:J226"/>
    <mergeCell ref="K225:L226"/>
    <mergeCell ref="C242:D243"/>
    <mergeCell ref="E242:F243"/>
    <mergeCell ref="G242:H243"/>
    <mergeCell ref="I242:J243"/>
    <mergeCell ref="K242:L243"/>
    <mergeCell ref="B171:B172"/>
    <mergeCell ref="C171:D172"/>
    <mergeCell ref="E171:F172"/>
    <mergeCell ref="G171:H172"/>
    <mergeCell ref="I171:J172"/>
    <mergeCell ref="K171:L172"/>
    <mergeCell ref="B173:B175"/>
    <mergeCell ref="C173:D175"/>
    <mergeCell ref="E173:F175"/>
    <mergeCell ref="G173:H175"/>
    <mergeCell ref="I173:J175"/>
    <mergeCell ref="K173:L175"/>
    <mergeCell ref="B176:B177"/>
    <mergeCell ref="B178:B179"/>
    <mergeCell ref="C176:D177"/>
    <mergeCell ref="C178:D179"/>
    <mergeCell ref="E178:F179"/>
    <mergeCell ref="G178:H179"/>
    <mergeCell ref="I178:J179"/>
    <mergeCell ref="K178:L179"/>
    <mergeCell ref="B189:B190"/>
    <mergeCell ref="C189:D190"/>
    <mergeCell ref="E189:F190"/>
    <mergeCell ref="G189:H190"/>
    <mergeCell ref="I189:J190"/>
    <mergeCell ref="K189:L190"/>
    <mergeCell ref="I180:J181"/>
    <mergeCell ref="K180:L181"/>
    <mergeCell ref="C183:D184"/>
    <mergeCell ref="C185:D188"/>
    <mergeCell ref="C180:D181"/>
    <mergeCell ref="K183:L184"/>
    <mergeCell ref="E185:F188"/>
    <mergeCell ref="G185:H188"/>
    <mergeCell ref="B216:B217"/>
    <mergeCell ref="C216:D217"/>
    <mergeCell ref="E216:F217"/>
    <mergeCell ref="G216:H217"/>
    <mergeCell ref="I216:J217"/>
    <mergeCell ref="K216:L217"/>
    <mergeCell ref="B218:B220"/>
    <mergeCell ref="C218:D220"/>
    <mergeCell ref="E218:F220"/>
    <mergeCell ref="G218:H220"/>
    <mergeCell ref="I218:J220"/>
    <mergeCell ref="K218:L220"/>
    <mergeCell ref="B221:B222"/>
    <mergeCell ref="C221:D222"/>
    <mergeCell ref="E221:F222"/>
    <mergeCell ref="G221:H222"/>
    <mergeCell ref="I221:J222"/>
    <mergeCell ref="K221:L222"/>
    <mergeCell ref="B223:B224"/>
    <mergeCell ref="C223:D224"/>
    <mergeCell ref="E223:F224"/>
    <mergeCell ref="G223:H224"/>
    <mergeCell ref="I223:J224"/>
    <mergeCell ref="K223:L224"/>
    <mergeCell ref="B234:B235"/>
    <mergeCell ref="C234:D235"/>
    <mergeCell ref="E234:F235"/>
    <mergeCell ref="G234:H235"/>
    <mergeCell ref="I234:J235"/>
    <mergeCell ref="K234:L235"/>
    <mergeCell ref="B240:B241"/>
    <mergeCell ref="C240:D241"/>
    <mergeCell ref="E240:F241"/>
    <mergeCell ref="G240:H241"/>
    <mergeCell ref="I240:J241"/>
    <mergeCell ref="K240:L241"/>
    <mergeCell ref="C238:D239"/>
    <mergeCell ref="E238:F239"/>
    <mergeCell ref="G238:H239"/>
    <mergeCell ref="I238:J239"/>
    <mergeCell ref="K238:L239"/>
    <mergeCell ref="B44:C44"/>
    <mergeCell ref="B64:C64"/>
    <mergeCell ref="B65:C65"/>
    <mergeCell ref="B66:C66"/>
    <mergeCell ref="B67:C67"/>
    <mergeCell ref="B74:C74"/>
    <mergeCell ref="B75:C75"/>
    <mergeCell ref="B76:C76"/>
    <mergeCell ref="B77:C77"/>
    <mergeCell ref="B58:C58"/>
    <mergeCell ref="B59:C61"/>
    <mergeCell ref="B62:C62"/>
    <mergeCell ref="B63:C63"/>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 allowBlank="1" sqref="C157:L165 C167:L181 C183:L198 C202:L210 C212:L226 C228:L243" xr:uid="{A6D25B59-16F9-4DD8-AEE6-CAC773E7B5E1}"/>
  </dataValidations>
  <printOptions horizontalCentered="1"/>
  <pageMargins left="0.25" right="0.25" top="0.75" bottom="0.75" header="0.3" footer="0.3"/>
  <pageSetup scale="63" firstPageNumber="33" fitToHeight="0" orientation="portrait" r:id="rId1"/>
  <headerFooter>
    <oddFooter>&amp;L&amp;A</oddFooter>
  </headerFooter>
  <rowBreaks count="5" manualBreakCount="5">
    <brk id="58" min="1" max="11" man="1"/>
    <brk id="108" min="1" max="11" man="1"/>
    <brk id="129" min="1" max="11" man="1"/>
    <brk id="154" min="1" max="11" man="1"/>
    <brk id="19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Variables!$D$46:$D$47</xm:f>
          </x14:formula1>
          <xm:sqref>B113 B123 B23 B33 B43 B53 B63 B73 B83 B93 B103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Variables</vt:lpstr>
      <vt:lpstr>Intro</vt:lpstr>
      <vt:lpstr>Info</vt:lpstr>
      <vt:lpstr>Public</vt:lpstr>
      <vt:lpstr>AddPub</vt:lpstr>
      <vt:lpstr>Pro 1</vt:lpstr>
      <vt:lpstr>Pro 2</vt:lpstr>
      <vt:lpstr>Pro 3</vt:lpstr>
      <vt:lpstr>Pro 4</vt:lpstr>
      <vt:lpstr>AddPro</vt:lpstr>
      <vt:lpstr>Confirm</vt:lpstr>
      <vt:lpstr>DBFirm</vt:lpstr>
      <vt:lpstr>DBSls</vt:lpstr>
      <vt:lpstr>DBPerformance</vt:lpstr>
      <vt:lpstr>DBOtherPerf</vt:lpstr>
      <vt:lpstr>DBAvgCost</vt:lpstr>
      <vt:lpstr>DBNegative</vt:lpstr>
      <vt:lpstr>DBBenchmark</vt:lpstr>
      <vt:lpstr>DBRegional</vt:lpstr>
      <vt:lpstr>DBTopAcct</vt:lpstr>
      <vt:lpstr>DataTab</vt:lpstr>
      <vt:lpstr>QualDB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2025-12-11T18:22:45Z</cp:lastPrinted>
  <dcterms:created xsi:type="dcterms:W3CDTF">2023-04-17T11:18:56Z</dcterms:created>
  <dcterms:modified xsi:type="dcterms:W3CDTF">2026-02-27T14:29:14Z</dcterms:modified>
</cp:coreProperties>
</file>